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E02\Users\Public\Nutris - Ano 2017\Material pra Gestores 2017\3 pesquisas para gestores - sem preço\"/>
    </mc:Choice>
  </mc:AlternateContent>
  <bookViews>
    <workbookView xWindow="0" yWindow="0" windowWidth="20730" windowHeight="9135" tabRatio="864" activeTab="8"/>
  </bookViews>
  <sheets>
    <sheet name="QUANTITATIVO PRA COMPRA" sheetId="24" r:id="rId1"/>
    <sheet name="Cardápio CMEI Integral 2017" sheetId="21" r:id="rId2"/>
    <sheet name="Cardápio CMEI Manhã 2017" sheetId="30" r:id="rId3"/>
    <sheet name="Cardápio CMEI Tarde 2017" sheetId="26" r:id="rId4"/>
    <sheet name="Cardápio CMEI Berçário I" sheetId="28" r:id="rId5"/>
    <sheet name="QDE Integral" sheetId="15" r:id="rId6"/>
    <sheet name="QDE Parcial Manhã" sheetId="25" r:id="rId7"/>
    <sheet name="QDE Parcial Tarde" sheetId="27" r:id="rId8"/>
    <sheet name="QDE Berçário I" sheetId="29" r:id="rId9"/>
  </sheets>
  <definedNames>
    <definedName name="OLE_LINK7" localSheetId="1">'Cardápio CMEI Integral 2017'!$A$3</definedName>
    <definedName name="OLE_LINK7" localSheetId="2">'Cardápio CMEI Manhã 2017'!$A$3</definedName>
  </definedNames>
  <calcPr calcId="152511"/>
</workbook>
</file>

<file path=xl/calcChain.xml><?xml version="1.0" encoding="utf-8"?>
<calcChain xmlns="http://schemas.openxmlformats.org/spreadsheetml/2006/main">
  <c r="G52" i="29" l="1"/>
  <c r="J58" i="24" l="1"/>
  <c r="I58" i="24"/>
  <c r="H58" i="24"/>
  <c r="AD58" i="24"/>
  <c r="AB58" i="24"/>
  <c r="K58" i="24"/>
  <c r="M58" i="24" l="1"/>
  <c r="P58" i="24" s="1"/>
  <c r="R58" i="24" l="1"/>
  <c r="W58" i="24" s="1"/>
  <c r="Z58" i="24" s="1"/>
  <c r="B21" i="25"/>
  <c r="B9" i="27"/>
  <c r="B12" i="27"/>
  <c r="U58" i="24" l="1"/>
  <c r="B40" i="15"/>
  <c r="E139" i="21"/>
  <c r="H139" i="21"/>
  <c r="D139" i="21"/>
  <c r="B39" i="25"/>
  <c r="E100" i="30"/>
  <c r="D100" i="30"/>
  <c r="H100" i="30" s="1"/>
  <c r="B39" i="27"/>
  <c r="E107" i="26"/>
  <c r="D107" i="26"/>
  <c r="H107" i="26" s="1"/>
  <c r="B41" i="15" l="1"/>
  <c r="B34" i="27"/>
  <c r="B40" i="27"/>
  <c r="G51" i="27" l="1"/>
  <c r="E51" i="27"/>
  <c r="G51" i="25"/>
  <c r="L51" i="25" s="1"/>
  <c r="O51" i="25" s="1"/>
  <c r="E51" i="25"/>
  <c r="H84" i="26"/>
  <c r="H83" i="26"/>
  <c r="D84" i="26"/>
  <c r="D83" i="26"/>
  <c r="E83" i="26"/>
  <c r="E84" i="26"/>
  <c r="B12" i="15"/>
  <c r="B35" i="15"/>
  <c r="B13" i="15"/>
  <c r="B45" i="15"/>
  <c r="J51" i="25" l="1"/>
  <c r="J51" i="27"/>
  <c r="L51" i="27"/>
  <c r="O51" i="27" s="1"/>
  <c r="B17" i="27"/>
  <c r="B33" i="27"/>
  <c r="B8" i="27"/>
  <c r="B7" i="27"/>
  <c r="D168" i="26"/>
  <c r="E168" i="26" s="1"/>
  <c r="D167" i="26"/>
  <c r="H167" i="26" s="1"/>
  <c r="M166" i="26"/>
  <c r="Q166" i="26" s="1"/>
  <c r="Q167" i="26" s="1"/>
  <c r="H166" i="26"/>
  <c r="D166" i="26"/>
  <c r="E166" i="26" s="1"/>
  <c r="B13" i="27"/>
  <c r="H76" i="26"/>
  <c r="D76" i="26"/>
  <c r="E76" i="26" s="1"/>
  <c r="D75" i="26"/>
  <c r="H75" i="26" s="1"/>
  <c r="D74" i="26"/>
  <c r="H74" i="26" s="1"/>
  <c r="E75" i="26" l="1"/>
  <c r="H77" i="26"/>
  <c r="E167" i="26"/>
  <c r="N166" i="26"/>
  <c r="H168" i="26"/>
  <c r="H169" i="26" s="1"/>
  <c r="E74" i="26"/>
  <c r="H267" i="28" l="1"/>
  <c r="E267" i="28"/>
  <c r="D267" i="28"/>
  <c r="D131" i="28"/>
  <c r="E131" i="28" s="1"/>
  <c r="H35" i="30"/>
  <c r="H35" i="21"/>
  <c r="H131" i="28" l="1"/>
  <c r="D63" i="28"/>
  <c r="H63" i="28" s="1"/>
  <c r="B47" i="29" l="1"/>
  <c r="B35" i="29"/>
  <c r="B9" i="29"/>
  <c r="B21" i="29"/>
  <c r="B15" i="29"/>
  <c r="B33" i="29"/>
  <c r="B40" i="29"/>
  <c r="B39" i="29"/>
  <c r="B37" i="29"/>
  <c r="B30" i="29"/>
  <c r="B29" i="29"/>
  <c r="B46" i="29"/>
  <c r="B41" i="29"/>
  <c r="B24" i="29"/>
  <c r="B23" i="29"/>
  <c r="B14" i="29"/>
  <c r="B25" i="29"/>
  <c r="B13" i="29"/>
  <c r="B32" i="29"/>
  <c r="B16" i="29"/>
  <c r="B42" i="29" l="1"/>
  <c r="E42" i="29" s="1"/>
  <c r="B51" i="29"/>
  <c r="E51" i="29" s="1"/>
  <c r="B50" i="29"/>
  <c r="E50" i="29" s="1"/>
  <c r="B26" i="29"/>
  <c r="E26" i="29" s="1"/>
  <c r="B10" i="29"/>
  <c r="E10" i="29" s="1"/>
  <c r="B22" i="29"/>
  <c r="E22" i="29" s="1"/>
  <c r="B45" i="29"/>
  <c r="E45" i="29" s="1"/>
  <c r="B52" i="29"/>
  <c r="E52" i="29" s="1"/>
  <c r="E49" i="29"/>
  <c r="E48" i="29"/>
  <c r="E47" i="29"/>
  <c r="E46" i="29"/>
  <c r="E44" i="29"/>
  <c r="E43" i="29"/>
  <c r="E41" i="29"/>
  <c r="E40" i="29"/>
  <c r="E39" i="29"/>
  <c r="E38" i="29"/>
  <c r="E37" i="29"/>
  <c r="E36" i="29"/>
  <c r="E35" i="29"/>
  <c r="E34" i="29"/>
  <c r="E33" i="29"/>
  <c r="E32" i="29"/>
  <c r="E31" i="29"/>
  <c r="E30" i="29"/>
  <c r="E29" i="29"/>
  <c r="E28" i="29"/>
  <c r="E27" i="29"/>
  <c r="E25" i="29"/>
  <c r="E24" i="29"/>
  <c r="E23" i="29"/>
  <c r="E21" i="29"/>
  <c r="E20" i="29"/>
  <c r="E19" i="29"/>
  <c r="E18" i="29"/>
  <c r="E17" i="29"/>
  <c r="E16" i="29"/>
  <c r="E15" i="29"/>
  <c r="E14" i="29"/>
  <c r="E13" i="29"/>
  <c r="E12" i="29"/>
  <c r="E11" i="29"/>
  <c r="E9" i="29"/>
  <c r="E8" i="29"/>
  <c r="D294" i="28"/>
  <c r="E294" i="28" s="1"/>
  <c r="D293" i="28"/>
  <c r="H293" i="28" s="1"/>
  <c r="D292" i="28"/>
  <c r="E292" i="28" s="1"/>
  <c r="D291" i="28"/>
  <c r="H291" i="28" s="1"/>
  <c r="D290" i="28"/>
  <c r="E290" i="28" s="1"/>
  <c r="D289" i="28"/>
  <c r="H289" i="28" s="1"/>
  <c r="D288" i="28"/>
  <c r="E288" i="28" s="1"/>
  <c r="D287" i="28"/>
  <c r="H287" i="28" s="1"/>
  <c r="D286" i="28"/>
  <c r="E286" i="28" s="1"/>
  <c r="E285" i="28"/>
  <c r="D285" i="28"/>
  <c r="H285" i="28" s="1"/>
  <c r="D284" i="28"/>
  <c r="E284" i="28" s="1"/>
  <c r="D283" i="28"/>
  <c r="H283" i="28" s="1"/>
  <c r="D282" i="28"/>
  <c r="E282" i="28" s="1"/>
  <c r="D275" i="28"/>
  <c r="E275" i="28" s="1"/>
  <c r="Q263" i="28"/>
  <c r="M263" i="28"/>
  <c r="N263" i="28" s="1"/>
  <c r="M262" i="28"/>
  <c r="Q262" i="28" s="1"/>
  <c r="M261" i="28"/>
  <c r="N261" i="28" s="1"/>
  <c r="D266" i="28"/>
  <c r="E266" i="28" s="1"/>
  <c r="D265" i="28"/>
  <c r="H265" i="28" s="1"/>
  <c r="D264" i="28"/>
  <c r="H264" i="28" s="1"/>
  <c r="D263" i="28"/>
  <c r="H263" i="28" s="1"/>
  <c r="D262" i="28"/>
  <c r="E262" i="28" s="1"/>
  <c r="D261" i="28"/>
  <c r="H261" i="28" s="1"/>
  <c r="D234" i="28"/>
  <c r="H234" i="28" s="1"/>
  <c r="D235" i="28"/>
  <c r="E235" i="28" s="1"/>
  <c r="D236" i="28"/>
  <c r="E236" i="28" s="1"/>
  <c r="D237" i="28"/>
  <c r="H237" i="28" s="1"/>
  <c r="D238" i="28"/>
  <c r="H238" i="28" s="1"/>
  <c r="D239" i="28"/>
  <c r="E239" i="28" s="1"/>
  <c r="D240" i="28"/>
  <c r="E240" i="28" s="1"/>
  <c r="D241" i="28"/>
  <c r="H241" i="28" s="1"/>
  <c r="D242" i="28"/>
  <c r="H242" i="28" s="1"/>
  <c r="D243" i="28"/>
  <c r="H243" i="28" s="1"/>
  <c r="D244" i="28"/>
  <c r="H244" i="28" s="1"/>
  <c r="D233" i="28"/>
  <c r="H233" i="28" s="1"/>
  <c r="D225" i="28"/>
  <c r="H225" i="28" s="1"/>
  <c r="D218" i="28"/>
  <c r="H218" i="28" s="1"/>
  <c r="D217" i="28"/>
  <c r="H217" i="28" s="1"/>
  <c r="D216" i="28"/>
  <c r="E216" i="28" s="1"/>
  <c r="D215" i="28"/>
  <c r="H215" i="28" s="1"/>
  <c r="D214" i="28"/>
  <c r="H214" i="28" s="1"/>
  <c r="D213" i="28"/>
  <c r="H213" i="28" s="1"/>
  <c r="D212" i="28"/>
  <c r="H212" i="28" s="1"/>
  <c r="D211" i="28"/>
  <c r="H211" i="28" s="1"/>
  <c r="D210" i="28"/>
  <c r="H210" i="28" s="1"/>
  <c r="D209" i="28"/>
  <c r="H209" i="28" s="1"/>
  <c r="D208" i="28"/>
  <c r="E208" i="28" s="1"/>
  <c r="D170" i="28"/>
  <c r="H170" i="28" s="1"/>
  <c r="H171" i="28" s="1"/>
  <c r="D162" i="28"/>
  <c r="H162" i="28" s="1"/>
  <c r="D163" i="28"/>
  <c r="E163" i="28" s="1"/>
  <c r="D161" i="28"/>
  <c r="M155" i="28"/>
  <c r="N155" i="28" s="1"/>
  <c r="D126" i="28"/>
  <c r="E126" i="28" s="1"/>
  <c r="D127" i="28"/>
  <c r="E127" i="28" s="1"/>
  <c r="D128" i="28"/>
  <c r="E128" i="28" s="1"/>
  <c r="D129" i="28"/>
  <c r="H129" i="28" s="1"/>
  <c r="D130" i="28"/>
  <c r="H130" i="28" s="1"/>
  <c r="D125" i="28"/>
  <c r="E125" i="28" s="1"/>
  <c r="M126" i="28"/>
  <c r="Q126" i="28" s="1"/>
  <c r="M127" i="28"/>
  <c r="N127" i="28" s="1"/>
  <c r="M125" i="28"/>
  <c r="N125" i="28" s="1"/>
  <c r="E117" i="28"/>
  <c r="D118" i="28"/>
  <c r="E118" i="28" s="1"/>
  <c r="D117" i="28"/>
  <c r="H117" i="28" s="1"/>
  <c r="D226" i="28"/>
  <c r="E226" i="28" s="1"/>
  <c r="V216" i="28"/>
  <c r="W216" i="28" s="1"/>
  <c r="V215" i="28"/>
  <c r="Z215" i="28" s="1"/>
  <c r="V214" i="28"/>
  <c r="W214" i="28" s="1"/>
  <c r="V213" i="28"/>
  <c r="Z213" i="28" s="1"/>
  <c r="V212" i="28"/>
  <c r="W212" i="28" s="1"/>
  <c r="V211" i="28"/>
  <c r="W211" i="28" s="1"/>
  <c r="V210" i="28"/>
  <c r="Z210" i="28" s="1"/>
  <c r="V209" i="28"/>
  <c r="Z209" i="28" s="1"/>
  <c r="V208" i="28"/>
  <c r="W208" i="28" s="1"/>
  <c r="V100" i="28"/>
  <c r="Z100" i="28" s="1"/>
  <c r="V101" i="28"/>
  <c r="Z101" i="28" s="1"/>
  <c r="V102" i="28"/>
  <c r="W102" i="28" s="1"/>
  <c r="V103" i="28"/>
  <c r="Z103" i="28" s="1"/>
  <c r="V104" i="28"/>
  <c r="Z104" i="28" s="1"/>
  <c r="V105" i="28"/>
  <c r="Z105" i="28" s="1"/>
  <c r="V106" i="28"/>
  <c r="W106" i="28" s="1"/>
  <c r="V107" i="28"/>
  <c r="Z107" i="28" s="1"/>
  <c r="V99" i="28"/>
  <c r="W99" i="28" s="1"/>
  <c r="D99" i="28"/>
  <c r="H99" i="28" s="1"/>
  <c r="V158" i="28"/>
  <c r="W158" i="28" s="1"/>
  <c r="V157" i="28"/>
  <c r="Z157" i="28" s="1"/>
  <c r="V156" i="28"/>
  <c r="W156" i="28" s="1"/>
  <c r="V155" i="28"/>
  <c r="Z155" i="28" s="1"/>
  <c r="V154" i="28"/>
  <c r="W154" i="28" s="1"/>
  <c r="V153" i="28"/>
  <c r="Z153" i="28" s="1"/>
  <c r="V152" i="28"/>
  <c r="W152" i="28" s="1"/>
  <c r="V151" i="28"/>
  <c r="Z151" i="28" s="1"/>
  <c r="V150" i="28"/>
  <c r="W150" i="28" s="1"/>
  <c r="Z262" i="28"/>
  <c r="W262" i="28"/>
  <c r="V262" i="28"/>
  <c r="V261" i="28"/>
  <c r="W261" i="28" s="1"/>
  <c r="M154" i="28"/>
  <c r="N154" i="28" s="1"/>
  <c r="M153" i="28"/>
  <c r="Q153" i="28" s="1"/>
  <c r="M152" i="28"/>
  <c r="Q152" i="28" s="1"/>
  <c r="N151" i="28"/>
  <c r="M151" i="28"/>
  <c r="Q151" i="28" s="1"/>
  <c r="M150" i="28"/>
  <c r="N150" i="28" s="1"/>
  <c r="M212" i="28"/>
  <c r="N212" i="28" s="1"/>
  <c r="M211" i="28"/>
  <c r="N211" i="28" s="1"/>
  <c r="M210" i="28"/>
  <c r="Q210" i="28" s="1"/>
  <c r="M209" i="28"/>
  <c r="Q209" i="28" s="1"/>
  <c r="Q208" i="28"/>
  <c r="M208" i="28"/>
  <c r="N208" i="28" s="1"/>
  <c r="M103" i="28"/>
  <c r="N103" i="28" s="1"/>
  <c r="M102" i="28"/>
  <c r="Q102" i="28" s="1"/>
  <c r="M101" i="28"/>
  <c r="N101" i="28" s="1"/>
  <c r="M100" i="28"/>
  <c r="Q100" i="28" s="1"/>
  <c r="M99" i="28"/>
  <c r="Q99" i="28" s="1"/>
  <c r="D200" i="28"/>
  <c r="H200" i="28" s="1"/>
  <c r="D201" i="28"/>
  <c r="H201" i="28" s="1"/>
  <c r="D199" i="28"/>
  <c r="E199" i="28" s="1"/>
  <c r="D91" i="28"/>
  <c r="H91" i="28" s="1"/>
  <c r="D156" i="28"/>
  <c r="H156" i="28" s="1"/>
  <c r="D155" i="28"/>
  <c r="E155" i="28" s="1"/>
  <c r="D154" i="28"/>
  <c r="H154" i="28" s="1"/>
  <c r="D153" i="28"/>
  <c r="E153" i="28" s="1"/>
  <c r="D152" i="28"/>
  <c r="H152" i="28" s="1"/>
  <c r="D151" i="28"/>
  <c r="E151" i="28" s="1"/>
  <c r="D150" i="28"/>
  <c r="H150" i="28" s="1"/>
  <c r="D100" i="28"/>
  <c r="H100" i="28" s="1"/>
  <c r="D101" i="28"/>
  <c r="H101" i="28" s="1"/>
  <c r="D102" i="28"/>
  <c r="H102" i="28" s="1"/>
  <c r="D103" i="28"/>
  <c r="H103" i="28" s="1"/>
  <c r="D104" i="28"/>
  <c r="E104" i="28" s="1"/>
  <c r="D105" i="28"/>
  <c r="H105" i="28" s="1"/>
  <c r="D254" i="28"/>
  <c r="E254" i="28" s="1"/>
  <c r="D143" i="28"/>
  <c r="D71" i="28"/>
  <c r="H71" i="28" s="1"/>
  <c r="D72" i="28"/>
  <c r="H72" i="28" s="1"/>
  <c r="D73" i="28"/>
  <c r="H73" i="28" s="1"/>
  <c r="D74" i="28"/>
  <c r="E74" i="28" s="1"/>
  <c r="D75" i="28"/>
  <c r="H75" i="28" s="1"/>
  <c r="D76" i="28"/>
  <c r="E76" i="28" s="1"/>
  <c r="D77" i="28"/>
  <c r="H77" i="28" s="1"/>
  <c r="D78" i="28"/>
  <c r="H78" i="28" s="1"/>
  <c r="D79" i="28"/>
  <c r="E79" i="28" s="1"/>
  <c r="D80" i="28"/>
  <c r="E80" i="28" s="1"/>
  <c r="D70" i="28"/>
  <c r="H70" i="28" s="1"/>
  <c r="D106" i="28"/>
  <c r="E106" i="28" s="1"/>
  <c r="D107" i="28"/>
  <c r="H107" i="28" s="1"/>
  <c r="D108" i="28"/>
  <c r="H108" i="28" s="1"/>
  <c r="D109" i="28"/>
  <c r="H109" i="28" s="1"/>
  <c r="D92" i="28"/>
  <c r="E92" i="28" s="1"/>
  <c r="H79" i="28"/>
  <c r="H76" i="28"/>
  <c r="H74" i="28"/>
  <c r="E78" i="28"/>
  <c r="E71" i="28"/>
  <c r="V48" i="28"/>
  <c r="Z48" i="28" s="1"/>
  <c r="V49" i="28"/>
  <c r="Z49" i="28" s="1"/>
  <c r="V50" i="28"/>
  <c r="Z50" i="28" s="1"/>
  <c r="V51" i="28"/>
  <c r="Z51" i="28" s="1"/>
  <c r="V52" i="28"/>
  <c r="W52" i="28" s="1"/>
  <c r="V53" i="28"/>
  <c r="Z53" i="28" s="1"/>
  <c r="V54" i="28"/>
  <c r="W54" i="28" s="1"/>
  <c r="V55" i="28"/>
  <c r="Z55" i="28" s="1"/>
  <c r="V47" i="28"/>
  <c r="Z47" i="28" s="1"/>
  <c r="M48" i="28"/>
  <c r="Q48" i="28" s="1"/>
  <c r="M49" i="28"/>
  <c r="Q49" i="28" s="1"/>
  <c r="M50" i="28"/>
  <c r="Q50" i="28" s="1"/>
  <c r="M51" i="28"/>
  <c r="Q51" i="28" s="1"/>
  <c r="M47" i="28"/>
  <c r="Q47" i="28" s="1"/>
  <c r="D178" i="28"/>
  <c r="H178" i="28" s="1"/>
  <c r="D179" i="28"/>
  <c r="H179" i="28" s="1"/>
  <c r="D180" i="28"/>
  <c r="H180" i="28" s="1"/>
  <c r="D181" i="28"/>
  <c r="E181" i="28" s="1"/>
  <c r="D182" i="28"/>
  <c r="H182" i="28" s="1"/>
  <c r="D183" i="28"/>
  <c r="H183" i="28" s="1"/>
  <c r="D184" i="28"/>
  <c r="E184" i="28" s="1"/>
  <c r="D185" i="28"/>
  <c r="E185" i="28" s="1"/>
  <c r="D186" i="28"/>
  <c r="E186" i="28" s="1"/>
  <c r="D187" i="28"/>
  <c r="H187" i="28" s="1"/>
  <c r="D188" i="28"/>
  <c r="H188" i="28" s="1"/>
  <c r="D189" i="28"/>
  <c r="H189" i="28" s="1"/>
  <c r="D177" i="28"/>
  <c r="H177" i="28" s="1"/>
  <c r="D48" i="28"/>
  <c r="H48" i="28" s="1"/>
  <c r="D49" i="28"/>
  <c r="H49" i="28" s="1"/>
  <c r="D50" i="28"/>
  <c r="H50" i="28" s="1"/>
  <c r="D51" i="28"/>
  <c r="E51" i="28" s="1"/>
  <c r="D52" i="28"/>
  <c r="E52" i="28" s="1"/>
  <c r="D53" i="28"/>
  <c r="E53" i="28" s="1"/>
  <c r="D54" i="28"/>
  <c r="H54" i="28" s="1"/>
  <c r="D55" i="28"/>
  <c r="H55" i="28" s="1"/>
  <c r="D47" i="28"/>
  <c r="E47" i="28" s="1"/>
  <c r="E214" i="21"/>
  <c r="D40" i="28"/>
  <c r="E40" i="28" s="1"/>
  <c r="D214" i="21"/>
  <c r="H282" i="28" l="1"/>
  <c r="E161" i="28"/>
  <c r="H161" i="28"/>
  <c r="E241" i="28"/>
  <c r="Q212" i="28"/>
  <c r="E99" i="28"/>
  <c r="E265" i="28"/>
  <c r="H275" i="28"/>
  <c r="H276" i="28" s="1"/>
  <c r="Z154" i="28"/>
  <c r="W157" i="28"/>
  <c r="E75" i="28"/>
  <c r="H262" i="28"/>
  <c r="H268" i="28" s="1"/>
  <c r="N153" i="28"/>
  <c r="Z150" i="28"/>
  <c r="H104" i="28"/>
  <c r="W100" i="28"/>
  <c r="H125" i="28"/>
  <c r="E187" i="28"/>
  <c r="H226" i="28"/>
  <c r="G10" i="29"/>
  <c r="J10" i="29" s="1"/>
  <c r="F10" i="24"/>
  <c r="G14" i="29"/>
  <c r="J14" i="29" s="1"/>
  <c r="F14" i="24"/>
  <c r="G18" i="29"/>
  <c r="L18" i="29" s="1"/>
  <c r="O18" i="29" s="1"/>
  <c r="F18" i="24"/>
  <c r="G23" i="29"/>
  <c r="L23" i="29" s="1"/>
  <c r="O23" i="29" s="1"/>
  <c r="F23" i="24"/>
  <c r="G28" i="29"/>
  <c r="L28" i="29" s="1"/>
  <c r="O28" i="29" s="1"/>
  <c r="F28" i="24"/>
  <c r="G32" i="29"/>
  <c r="L32" i="29" s="1"/>
  <c r="O32" i="29" s="1"/>
  <c r="F32" i="24"/>
  <c r="G36" i="29"/>
  <c r="J36" i="29" s="1"/>
  <c r="F36" i="24"/>
  <c r="G40" i="29"/>
  <c r="J40" i="29" s="1"/>
  <c r="F40" i="24"/>
  <c r="G46" i="29"/>
  <c r="J46" i="29" s="1"/>
  <c r="F46" i="24"/>
  <c r="L52" i="29"/>
  <c r="O52" i="29" s="1"/>
  <c r="F52" i="24"/>
  <c r="G26" i="29"/>
  <c r="J26" i="29" s="1"/>
  <c r="F26" i="24"/>
  <c r="E105" i="28"/>
  <c r="Z99" i="28"/>
  <c r="H92" i="28"/>
  <c r="H93" i="28" s="1"/>
  <c r="H185" i="28"/>
  <c r="E244" i="28"/>
  <c r="E261" i="28"/>
  <c r="H294" i="28"/>
  <c r="G11" i="29"/>
  <c r="J11" i="29" s="1"/>
  <c r="F11" i="24"/>
  <c r="K11" i="24" s="1"/>
  <c r="G15" i="29"/>
  <c r="L15" i="29" s="1"/>
  <c r="O15" i="29" s="1"/>
  <c r="F15" i="24"/>
  <c r="G19" i="29"/>
  <c r="F19" i="24"/>
  <c r="G24" i="29"/>
  <c r="L24" i="29" s="1"/>
  <c r="O24" i="29" s="1"/>
  <c r="F24" i="24"/>
  <c r="G29" i="29"/>
  <c r="L29" i="29" s="1"/>
  <c r="O29" i="29" s="1"/>
  <c r="F29" i="24"/>
  <c r="G33" i="29"/>
  <c r="J33" i="29" s="1"/>
  <c r="F33" i="24"/>
  <c r="G37" i="29"/>
  <c r="J37" i="29" s="1"/>
  <c r="F37" i="24"/>
  <c r="G41" i="29"/>
  <c r="J41" i="29" s="1"/>
  <c r="F41" i="24"/>
  <c r="G47" i="29"/>
  <c r="L47" i="29" s="1"/>
  <c r="O47" i="29" s="1"/>
  <c r="F47" i="24"/>
  <c r="G45" i="29"/>
  <c r="L45" i="29" s="1"/>
  <c r="O45" i="29" s="1"/>
  <c r="F45" i="24"/>
  <c r="G50" i="29"/>
  <c r="J50" i="29" s="1"/>
  <c r="F50" i="24"/>
  <c r="W107" i="28"/>
  <c r="E162" i="28"/>
  <c r="H181" i="28"/>
  <c r="E238" i="28"/>
  <c r="H240" i="28"/>
  <c r="G8" i="29"/>
  <c r="L8" i="29" s="1"/>
  <c r="O8" i="29" s="1"/>
  <c r="F8" i="24"/>
  <c r="G12" i="29"/>
  <c r="L12" i="29" s="1"/>
  <c r="O12" i="29" s="1"/>
  <c r="F12" i="24"/>
  <c r="G16" i="29"/>
  <c r="J16" i="29" s="1"/>
  <c r="F16" i="24"/>
  <c r="G20" i="29"/>
  <c r="L20" i="29" s="1"/>
  <c r="O20" i="29" s="1"/>
  <c r="F20" i="24"/>
  <c r="G25" i="29"/>
  <c r="L25" i="29" s="1"/>
  <c r="O25" i="29" s="1"/>
  <c r="F25" i="24"/>
  <c r="G30" i="29"/>
  <c r="L30" i="29" s="1"/>
  <c r="O30" i="29" s="1"/>
  <c r="F30" i="24"/>
  <c r="G34" i="29"/>
  <c r="J34" i="29" s="1"/>
  <c r="F34" i="24"/>
  <c r="G38" i="29"/>
  <c r="L38" i="29" s="1"/>
  <c r="O38" i="29" s="1"/>
  <c r="F38" i="24"/>
  <c r="G43" i="29"/>
  <c r="J43" i="29" s="1"/>
  <c r="F43" i="24"/>
  <c r="G48" i="29"/>
  <c r="J48" i="29" s="1"/>
  <c r="F48" i="24"/>
  <c r="G22" i="29"/>
  <c r="L22" i="29" s="1"/>
  <c r="O22" i="29" s="1"/>
  <c r="F22" i="24"/>
  <c r="G51" i="29"/>
  <c r="J51" i="29" s="1"/>
  <c r="F51" i="24"/>
  <c r="W101" i="28"/>
  <c r="Z211" i="28"/>
  <c r="H186" i="28"/>
  <c r="H227" i="28"/>
  <c r="E237" i="28"/>
  <c r="H236" i="28"/>
  <c r="G9" i="29"/>
  <c r="J9" i="29" s="1"/>
  <c r="F9" i="24"/>
  <c r="G13" i="29"/>
  <c r="J13" i="29" s="1"/>
  <c r="F13" i="24"/>
  <c r="G17" i="29"/>
  <c r="L17" i="29" s="1"/>
  <c r="O17" i="29" s="1"/>
  <c r="F17" i="24"/>
  <c r="G21" i="29"/>
  <c r="L21" i="29" s="1"/>
  <c r="O21" i="29" s="1"/>
  <c r="F21" i="24"/>
  <c r="G27" i="29"/>
  <c r="J27" i="29" s="1"/>
  <c r="F27" i="24"/>
  <c r="G31" i="29"/>
  <c r="J31" i="29" s="1"/>
  <c r="F31" i="24"/>
  <c r="G35" i="29"/>
  <c r="L35" i="29" s="1"/>
  <c r="O35" i="29" s="1"/>
  <c r="F35" i="24"/>
  <c r="G39" i="29"/>
  <c r="L39" i="29" s="1"/>
  <c r="O39" i="29" s="1"/>
  <c r="F39" i="24"/>
  <c r="G44" i="29"/>
  <c r="L44" i="29" s="1"/>
  <c r="O44" i="29" s="1"/>
  <c r="F44" i="24"/>
  <c r="G49" i="29"/>
  <c r="J49" i="29" s="1"/>
  <c r="F49" i="24"/>
  <c r="G42" i="29"/>
  <c r="J42" i="29" s="1"/>
  <c r="F42" i="24"/>
  <c r="Z102" i="28"/>
  <c r="E170" i="28"/>
  <c r="E180" i="28"/>
  <c r="H199" i="28"/>
  <c r="H202" i="28" s="1"/>
  <c r="N99" i="28"/>
  <c r="Q103" i="28"/>
  <c r="Q211" i="28"/>
  <c r="Q213" i="28" s="1"/>
  <c r="W153" i="28"/>
  <c r="E109" i="28"/>
  <c r="E103" i="28"/>
  <c r="H106" i="28"/>
  <c r="W105" i="28"/>
  <c r="Z216" i="28"/>
  <c r="H127" i="28"/>
  <c r="E177" i="28"/>
  <c r="E183" i="28"/>
  <c r="E179" i="28"/>
  <c r="E188" i="28"/>
  <c r="H184" i="28"/>
  <c r="E210" i="28"/>
  <c r="E214" i="28"/>
  <c r="E218" i="28"/>
  <c r="E225" i="28"/>
  <c r="E242" i="28"/>
  <c r="E243" i="28"/>
  <c r="H239" i="28"/>
  <c r="H235" i="28"/>
  <c r="N262" i="28"/>
  <c r="Z261" i="28"/>
  <c r="Z263" i="28" s="1"/>
  <c r="H290" i="28"/>
  <c r="E293" i="28"/>
  <c r="Z106" i="28"/>
  <c r="E73" i="28"/>
  <c r="E77" i="28"/>
  <c r="E70" i="28"/>
  <c r="N102" i="28"/>
  <c r="Q150" i="28"/>
  <c r="Z158" i="28"/>
  <c r="E108" i="28"/>
  <c r="E101" i="28"/>
  <c r="W103" i="28"/>
  <c r="W104" i="28"/>
  <c r="Z212" i="28"/>
  <c r="W215" i="28"/>
  <c r="H128" i="28"/>
  <c r="H163" i="28"/>
  <c r="E189" i="28"/>
  <c r="E182" i="28"/>
  <c r="E178" i="28"/>
  <c r="E209" i="28"/>
  <c r="E213" i="28"/>
  <c r="E217" i="28"/>
  <c r="E233" i="28"/>
  <c r="H266" i="28"/>
  <c r="H286" i="28"/>
  <c r="E289" i="28"/>
  <c r="E102" i="28"/>
  <c r="E200" i="28"/>
  <c r="N210" i="28"/>
  <c r="E107" i="28"/>
  <c r="E100" i="28"/>
  <c r="Z208" i="28"/>
  <c r="H64" i="28"/>
  <c r="H143" i="28"/>
  <c r="H144" i="28" s="1"/>
  <c r="Z214" i="28"/>
  <c r="E234" i="28"/>
  <c r="J52" i="29"/>
  <c r="J19" i="29"/>
  <c r="L19" i="29"/>
  <c r="O19" i="29" s="1"/>
  <c r="J12" i="29"/>
  <c r="J28" i="29"/>
  <c r="L48" i="29"/>
  <c r="O48" i="29" s="1"/>
  <c r="L49" i="29"/>
  <c r="O49" i="29" s="1"/>
  <c r="L33" i="29"/>
  <c r="O33" i="29" s="1"/>
  <c r="J45" i="29"/>
  <c r="J15" i="29"/>
  <c r="E283" i="28"/>
  <c r="H284" i="28"/>
  <c r="E287" i="28"/>
  <c r="H288" i="28"/>
  <c r="E291" i="28"/>
  <c r="H292" i="28"/>
  <c r="Q261" i="28"/>
  <c r="Q264" i="28" s="1"/>
  <c r="E264" i="28"/>
  <c r="E263" i="28"/>
  <c r="N126" i="28"/>
  <c r="E130" i="28"/>
  <c r="E129" i="28"/>
  <c r="H126" i="28"/>
  <c r="Q125" i="28"/>
  <c r="Q127" i="28"/>
  <c r="E212" i="28"/>
  <c r="H208" i="28"/>
  <c r="E211" i="28"/>
  <c r="E215" i="28"/>
  <c r="H216" i="28"/>
  <c r="W210" i="28"/>
  <c r="W209" i="28"/>
  <c r="W213" i="28"/>
  <c r="W151" i="28"/>
  <c r="Z152" i="28"/>
  <c r="W155" i="28"/>
  <c r="Z156" i="28"/>
  <c r="Q154" i="28"/>
  <c r="N152" i="28"/>
  <c r="N209" i="28"/>
  <c r="N100" i="28"/>
  <c r="Q101" i="28"/>
  <c r="Q104" i="28" s="1"/>
  <c r="H80" i="28"/>
  <c r="H81" i="28" s="1"/>
  <c r="E72" i="28"/>
  <c r="E91" i="28"/>
  <c r="E201" i="28"/>
  <c r="Q52" i="28"/>
  <c r="E55" i="28"/>
  <c r="E49" i="28"/>
  <c r="N47" i="28"/>
  <c r="N51" i="28"/>
  <c r="W49" i="28"/>
  <c r="W55" i="28"/>
  <c r="H52" i="28"/>
  <c r="H53" i="28"/>
  <c r="Z52" i="28"/>
  <c r="E143" i="28"/>
  <c r="E152" i="28"/>
  <c r="H153" i="28"/>
  <c r="E156" i="28"/>
  <c r="E54" i="28"/>
  <c r="E48" i="28"/>
  <c r="N50" i="28"/>
  <c r="W53" i="28"/>
  <c r="W48" i="28"/>
  <c r="H47" i="28"/>
  <c r="H51" i="28"/>
  <c r="H56" i="28" s="1"/>
  <c r="Z54" i="28"/>
  <c r="H254" i="28"/>
  <c r="H255" i="28" s="1"/>
  <c r="E50" i="28"/>
  <c r="N49" i="28"/>
  <c r="W51" i="28"/>
  <c r="H40" i="28"/>
  <c r="H41" i="28" s="1"/>
  <c r="W47" i="28"/>
  <c r="N48" i="28"/>
  <c r="W50" i="28"/>
  <c r="E63" i="28"/>
  <c r="E150" i="28"/>
  <c r="H151" i="28"/>
  <c r="E154" i="28"/>
  <c r="H155" i="28"/>
  <c r="H110" i="28" l="1"/>
  <c r="J8" i="29"/>
  <c r="L34" i="29"/>
  <c r="O34" i="29" s="1"/>
  <c r="L43" i="29"/>
  <c r="O43" i="29" s="1"/>
  <c r="L31" i="29"/>
  <c r="O31" i="29" s="1"/>
  <c r="J24" i="29"/>
  <c r="J18" i="29"/>
  <c r="J17" i="29"/>
  <c r="L36" i="29"/>
  <c r="O36" i="29" s="1"/>
  <c r="L42" i="29"/>
  <c r="O42" i="29" s="1"/>
  <c r="J44" i="29"/>
  <c r="J20" i="29"/>
  <c r="J38" i="29"/>
  <c r="L27" i="29"/>
  <c r="O27" i="29" s="1"/>
  <c r="L11" i="29"/>
  <c r="O11" i="29" s="1"/>
  <c r="L16" i="29"/>
  <c r="O16" i="29" s="1"/>
  <c r="L41" i="29"/>
  <c r="O41" i="29" s="1"/>
  <c r="H190" i="28"/>
  <c r="J23" i="29"/>
  <c r="J35" i="29"/>
  <c r="L14" i="29"/>
  <c r="O14" i="29" s="1"/>
  <c r="J39" i="29"/>
  <c r="L13" i="29"/>
  <c r="O13" i="29" s="1"/>
  <c r="H132" i="28"/>
  <c r="L46" i="29"/>
  <c r="O46" i="29" s="1"/>
  <c r="J25" i="29"/>
  <c r="L10" i="29"/>
  <c r="O10" i="29" s="1"/>
  <c r="J21" i="29"/>
  <c r="L26" i="29"/>
  <c r="O26" i="29" s="1"/>
  <c r="L37" i="29"/>
  <c r="O37" i="29" s="1"/>
  <c r="J47" i="29"/>
  <c r="L50" i="29"/>
  <c r="O50" i="29" s="1"/>
  <c r="J29" i="29"/>
  <c r="H245" i="28"/>
  <c r="L51" i="29"/>
  <c r="O51" i="29" s="1"/>
  <c r="J30" i="29"/>
  <c r="L9" i="29"/>
  <c r="O9" i="29" s="1"/>
  <c r="O53" i="29" s="1"/>
  <c r="J32" i="29"/>
  <c r="L40" i="29"/>
  <c r="O40" i="29" s="1"/>
  <c r="J22" i="29"/>
  <c r="H295" i="28"/>
  <c r="N297" i="28" s="1"/>
  <c r="Z217" i="28"/>
  <c r="H219" i="28"/>
  <c r="Z159" i="28"/>
  <c r="Z108" i="28"/>
  <c r="Z56" i="28"/>
  <c r="N82" i="28" s="1"/>
  <c r="Q128" i="28"/>
  <c r="H157" i="28"/>
  <c r="E52" i="24"/>
  <c r="D52" i="24"/>
  <c r="B44" i="15"/>
  <c r="B10" i="15"/>
  <c r="E10" i="15" s="1"/>
  <c r="B9" i="15"/>
  <c r="E9" i="15" s="1"/>
  <c r="B50" i="27"/>
  <c r="B49" i="27"/>
  <c r="B48" i="27"/>
  <c r="E48" i="27" s="1"/>
  <c r="E49" i="24" s="1"/>
  <c r="B47" i="27"/>
  <c r="E47" i="27" s="1"/>
  <c r="E48" i="24" s="1"/>
  <c r="B46" i="27"/>
  <c r="E46" i="27" s="1"/>
  <c r="E47" i="24" s="1"/>
  <c r="B45" i="27"/>
  <c r="E45" i="27" s="1"/>
  <c r="E46" i="24" s="1"/>
  <c r="B43" i="27"/>
  <c r="B42" i="27"/>
  <c r="E42" i="27" s="1"/>
  <c r="E43" i="24" s="1"/>
  <c r="B41" i="27"/>
  <c r="E39" i="27"/>
  <c r="E40" i="24" s="1"/>
  <c r="E38" i="27"/>
  <c r="G38" i="27" s="1"/>
  <c r="B37" i="27"/>
  <c r="B36" i="27"/>
  <c r="E34" i="27"/>
  <c r="E35" i="24" s="1"/>
  <c r="B32" i="27"/>
  <c r="B30" i="27"/>
  <c r="E30" i="27" s="1"/>
  <c r="E31" i="24" s="1"/>
  <c r="B28" i="27"/>
  <c r="E28" i="27" s="1"/>
  <c r="E29" i="24" s="1"/>
  <c r="B25" i="27"/>
  <c r="B24" i="27"/>
  <c r="B23" i="27"/>
  <c r="B22" i="27"/>
  <c r="B21" i="27"/>
  <c r="B20" i="27"/>
  <c r="E20" i="27" s="1"/>
  <c r="E21" i="24" s="1"/>
  <c r="B18" i="27"/>
  <c r="E18" i="27" s="1"/>
  <c r="E19" i="24" s="1"/>
  <c r="B16" i="27"/>
  <c r="E16" i="27" s="1"/>
  <c r="E17" i="24" s="1"/>
  <c r="B15" i="27"/>
  <c r="B14" i="27"/>
  <c r="E14" i="27" s="1"/>
  <c r="E15" i="24" s="1"/>
  <c r="E11" i="27"/>
  <c r="E12" i="24" s="1"/>
  <c r="D64" i="26"/>
  <c r="H64" i="26" s="1"/>
  <c r="D63" i="26"/>
  <c r="E63" i="26" s="1"/>
  <c r="D62" i="26"/>
  <c r="H62" i="26" s="1"/>
  <c r="D61" i="26"/>
  <c r="H61" i="26" s="1"/>
  <c r="D60" i="26"/>
  <c r="H60" i="26" s="1"/>
  <c r="D59" i="26"/>
  <c r="E59" i="26" s="1"/>
  <c r="D58" i="26"/>
  <c r="E58" i="26" s="1"/>
  <c r="D57" i="26"/>
  <c r="E57" i="26" s="1"/>
  <c r="D56" i="26"/>
  <c r="H56" i="26" s="1"/>
  <c r="O55" i="26"/>
  <c r="N55" i="26"/>
  <c r="R55" i="26" s="1"/>
  <c r="D55" i="26"/>
  <c r="H55" i="26" s="1"/>
  <c r="O54" i="26"/>
  <c r="N54" i="26"/>
  <c r="R54" i="26" s="1"/>
  <c r="D54" i="26"/>
  <c r="H54" i="26" s="1"/>
  <c r="D95" i="26"/>
  <c r="H95" i="26" s="1"/>
  <c r="D94" i="26"/>
  <c r="H94" i="26" s="1"/>
  <c r="D93" i="26"/>
  <c r="E93" i="26" s="1"/>
  <c r="D92" i="26"/>
  <c r="H92" i="26" s="1"/>
  <c r="D91" i="26"/>
  <c r="H91" i="26" s="1"/>
  <c r="D90" i="26"/>
  <c r="H90" i="26" s="1"/>
  <c r="D89" i="26"/>
  <c r="E89" i="26" s="1"/>
  <c r="D88" i="26"/>
  <c r="E88" i="26" s="1"/>
  <c r="D87" i="26"/>
  <c r="H87" i="26" s="1"/>
  <c r="D86" i="26"/>
  <c r="H86" i="26" s="1"/>
  <c r="D85" i="26"/>
  <c r="E85" i="26" s="1"/>
  <c r="E10" i="27"/>
  <c r="E11" i="24" s="1"/>
  <c r="J11" i="24" s="1"/>
  <c r="E19" i="27"/>
  <c r="E20" i="24" s="1"/>
  <c r="E26" i="27"/>
  <c r="E27" i="24" s="1"/>
  <c r="E27" i="27"/>
  <c r="E28" i="24" s="1"/>
  <c r="E29" i="27"/>
  <c r="E30" i="24" s="1"/>
  <c r="E31" i="27"/>
  <c r="E32" i="24" s="1"/>
  <c r="E35" i="27"/>
  <c r="E36" i="24" s="1"/>
  <c r="E37" i="27"/>
  <c r="E38" i="24" s="1"/>
  <c r="E40" i="27"/>
  <c r="E41" i="24" s="1"/>
  <c r="E12" i="25"/>
  <c r="D13" i="24" s="1"/>
  <c r="E20" i="25"/>
  <c r="D21" i="24" s="1"/>
  <c r="E23" i="25"/>
  <c r="D24" i="24" s="1"/>
  <c r="E34" i="25"/>
  <c r="D35" i="24" s="1"/>
  <c r="E43" i="25"/>
  <c r="G43" i="25" s="1"/>
  <c r="E46" i="25"/>
  <c r="D47" i="24" s="1"/>
  <c r="E47" i="25"/>
  <c r="D48" i="24" s="1"/>
  <c r="E48" i="25"/>
  <c r="D49" i="24" s="1"/>
  <c r="E44" i="15"/>
  <c r="X153" i="21"/>
  <c r="X154" i="21"/>
  <c r="B50" i="25"/>
  <c r="E50" i="25" s="1"/>
  <c r="D51" i="24" s="1"/>
  <c r="B49" i="25"/>
  <c r="E49" i="25" s="1"/>
  <c r="D50" i="24" s="1"/>
  <c r="J53" i="29" l="1"/>
  <c r="E55" i="26"/>
  <c r="N246" i="28"/>
  <c r="H58" i="26"/>
  <c r="H88" i="26"/>
  <c r="R56" i="26"/>
  <c r="H63" i="26"/>
  <c r="H89" i="26"/>
  <c r="E92" i="26"/>
  <c r="H59" i="26"/>
  <c r="E62" i="26"/>
  <c r="H85" i="26"/>
  <c r="D44" i="24"/>
  <c r="E39" i="24"/>
  <c r="J38" i="27"/>
  <c r="L38" i="27"/>
  <c r="O38" i="27" s="1"/>
  <c r="H93" i="26"/>
  <c r="E54" i="26"/>
  <c r="E56" i="26"/>
  <c r="E61" i="26"/>
  <c r="H57" i="26"/>
  <c r="E60" i="26"/>
  <c r="E64" i="26"/>
  <c r="E87" i="26"/>
  <c r="E91" i="26"/>
  <c r="E95" i="26"/>
  <c r="E86" i="26"/>
  <c r="E90" i="26"/>
  <c r="E94" i="26"/>
  <c r="B45" i="25"/>
  <c r="E45" i="25" s="1"/>
  <c r="D46" i="24" s="1"/>
  <c r="B44" i="25"/>
  <c r="E44" i="25" s="1"/>
  <c r="D45" i="24" s="1"/>
  <c r="B42" i="25"/>
  <c r="E42" i="25" s="1"/>
  <c r="D43" i="24" s="1"/>
  <c r="B41" i="25"/>
  <c r="E41" i="25" s="1"/>
  <c r="D42" i="24" s="1"/>
  <c r="B40" i="25"/>
  <c r="E40" i="25" s="1"/>
  <c r="D41" i="24" s="1"/>
  <c r="E39" i="25"/>
  <c r="D40" i="24" s="1"/>
  <c r="B38" i="25"/>
  <c r="E38" i="25" s="1"/>
  <c r="D39" i="24" s="1"/>
  <c r="B37" i="25"/>
  <c r="E37" i="25" s="1"/>
  <c r="D38" i="24" s="1"/>
  <c r="B36" i="25"/>
  <c r="E36" i="25" s="1"/>
  <c r="D37" i="24" s="1"/>
  <c r="B35" i="25"/>
  <c r="E35" i="25" s="1"/>
  <c r="D36" i="24" s="1"/>
  <c r="B33" i="25"/>
  <c r="E33" i="25" s="1"/>
  <c r="D34" i="24" s="1"/>
  <c r="B32" i="25"/>
  <c r="E32" i="25" s="1"/>
  <c r="D33" i="24" s="1"/>
  <c r="B31" i="25"/>
  <c r="E31" i="25" s="1"/>
  <c r="D32" i="24" s="1"/>
  <c r="B30" i="25"/>
  <c r="E30" i="25" s="1"/>
  <c r="D31" i="24" s="1"/>
  <c r="B29" i="25"/>
  <c r="E29" i="25" s="1"/>
  <c r="D30" i="24" s="1"/>
  <c r="B28" i="25"/>
  <c r="E28" i="25" s="1"/>
  <c r="D29" i="24" s="1"/>
  <c r="B27" i="25"/>
  <c r="E27" i="25" s="1"/>
  <c r="D28" i="24" s="1"/>
  <c r="B26" i="25"/>
  <c r="E26" i="25" s="1"/>
  <c r="D27" i="24" s="1"/>
  <c r="B25" i="25"/>
  <c r="E25" i="25" s="1"/>
  <c r="D26" i="24" s="1"/>
  <c r="B24" i="25"/>
  <c r="E24" i="25" s="1"/>
  <c r="D25" i="24" s="1"/>
  <c r="B22" i="25"/>
  <c r="E22" i="25" s="1"/>
  <c r="D23" i="24" s="1"/>
  <c r="E21" i="25"/>
  <c r="D22" i="24" s="1"/>
  <c r="B19" i="25"/>
  <c r="E19" i="25" s="1"/>
  <c r="D20" i="24" s="1"/>
  <c r="B18" i="25"/>
  <c r="E18" i="25" s="1"/>
  <c r="D19" i="24" s="1"/>
  <c r="B17" i="25"/>
  <c r="E17" i="25" s="1"/>
  <c r="D18" i="24" s="1"/>
  <c r="B16" i="25"/>
  <c r="E16" i="25" s="1"/>
  <c r="D17" i="24" s="1"/>
  <c r="B15" i="25"/>
  <c r="E15" i="25" s="1"/>
  <c r="D16" i="24" s="1"/>
  <c r="B14" i="25"/>
  <c r="E14" i="25" s="1"/>
  <c r="D15" i="24" s="1"/>
  <c r="B13" i="25"/>
  <c r="E13" i="25" s="1"/>
  <c r="D14" i="24" s="1"/>
  <c r="B11" i="25"/>
  <c r="E11" i="25" s="1"/>
  <c r="D12" i="24" s="1"/>
  <c r="B10" i="25"/>
  <c r="E10" i="25" s="1"/>
  <c r="D11" i="24" s="1"/>
  <c r="I11" i="24" s="1"/>
  <c r="B9" i="25"/>
  <c r="E9" i="25" s="1"/>
  <c r="D10" i="24" s="1"/>
  <c r="B8" i="25"/>
  <c r="E8" i="25" s="1"/>
  <c r="D9" i="24" s="1"/>
  <c r="B7" i="25"/>
  <c r="E7" i="25" s="1"/>
  <c r="D8" i="24" s="1"/>
  <c r="M180" i="30"/>
  <c r="Q180" i="30" s="1"/>
  <c r="D184" i="30"/>
  <c r="M172" i="30"/>
  <c r="M173" i="30"/>
  <c r="M174" i="30"/>
  <c r="M175" i="30"/>
  <c r="M171" i="30"/>
  <c r="D171" i="30"/>
  <c r="M162" i="30"/>
  <c r="D164" i="30"/>
  <c r="D163" i="30"/>
  <c r="D162" i="30"/>
  <c r="M145" i="30"/>
  <c r="D152" i="30"/>
  <c r="M136" i="30"/>
  <c r="D136" i="30"/>
  <c r="D128" i="30"/>
  <c r="H128" i="30" s="1"/>
  <c r="W114" i="30"/>
  <c r="W115" i="30"/>
  <c r="W107" i="30"/>
  <c r="X107" i="30" s="1"/>
  <c r="M107" i="30"/>
  <c r="M85" i="30"/>
  <c r="N85" i="30" s="1"/>
  <c r="D107" i="30"/>
  <c r="E107" i="30" s="1"/>
  <c r="D99" i="30"/>
  <c r="D98" i="30"/>
  <c r="D97" i="30"/>
  <c r="H87" i="30"/>
  <c r="D87" i="30"/>
  <c r="D86" i="30"/>
  <c r="D85" i="30"/>
  <c r="M75" i="30"/>
  <c r="D75" i="30"/>
  <c r="D66" i="30"/>
  <c r="V45" i="30"/>
  <c r="M54" i="30"/>
  <c r="M45" i="30"/>
  <c r="D51" i="30"/>
  <c r="D52" i="30"/>
  <c r="D53" i="30"/>
  <c r="H53" i="30" s="1"/>
  <c r="D54" i="30"/>
  <c r="H54" i="30" s="1"/>
  <c r="D45" i="30"/>
  <c r="D35" i="30"/>
  <c r="B51" i="15"/>
  <c r="E51" i="15" s="1"/>
  <c r="B50" i="15"/>
  <c r="E50" i="15" s="1"/>
  <c r="B49" i="15"/>
  <c r="E49" i="15" s="1"/>
  <c r="B46" i="15"/>
  <c r="E46" i="15" s="1"/>
  <c r="E45" i="15"/>
  <c r="B42" i="15"/>
  <c r="E42" i="15" s="1"/>
  <c r="E35" i="15"/>
  <c r="B26" i="15"/>
  <c r="E26" i="15" s="1"/>
  <c r="B24" i="15"/>
  <c r="E24" i="15" s="1"/>
  <c r="B23" i="15"/>
  <c r="E23" i="15" s="1"/>
  <c r="B22" i="15"/>
  <c r="E22" i="15" s="1"/>
  <c r="B21" i="15"/>
  <c r="E21" i="15" s="1"/>
  <c r="B16" i="15"/>
  <c r="E16" i="15" s="1"/>
  <c r="E13" i="15"/>
  <c r="M254" i="21"/>
  <c r="D265" i="21"/>
  <c r="D258" i="21"/>
  <c r="M246" i="21"/>
  <c r="M247" i="21"/>
  <c r="M248" i="21"/>
  <c r="M249" i="21"/>
  <c r="M245" i="21"/>
  <c r="D245" i="21"/>
  <c r="M236" i="21"/>
  <c r="D236" i="21"/>
  <c r="D206" i="21"/>
  <c r="M199" i="21"/>
  <c r="Q199" i="21" s="1"/>
  <c r="M190" i="21"/>
  <c r="D190" i="21"/>
  <c r="M182" i="21"/>
  <c r="D182" i="21"/>
  <c r="M164" i="21"/>
  <c r="D164" i="21"/>
  <c r="M146" i="21"/>
  <c r="Q146" i="21" s="1"/>
  <c r="D146" i="21"/>
  <c r="E146" i="21" s="1"/>
  <c r="D136" i="21"/>
  <c r="D114" i="21"/>
  <c r="H114" i="21" s="1"/>
  <c r="D104" i="21"/>
  <c r="H104" i="21" s="1"/>
  <c r="M94" i="21"/>
  <c r="Q94" i="21" s="1"/>
  <c r="D94" i="21"/>
  <c r="M63" i="21"/>
  <c r="M45" i="21"/>
  <c r="H53" i="21"/>
  <c r="D53" i="21"/>
  <c r="D54" i="21"/>
  <c r="H54" i="21" s="1"/>
  <c r="D51" i="21"/>
  <c r="D45" i="21"/>
  <c r="D35" i="21"/>
  <c r="D126" i="21"/>
  <c r="H126" i="21" s="1"/>
  <c r="D125" i="21"/>
  <c r="H125" i="21" s="1"/>
  <c r="D124" i="21"/>
  <c r="E124" i="21" s="1"/>
  <c r="D123" i="21"/>
  <c r="H123" i="21" s="1"/>
  <c r="D122" i="21"/>
  <c r="H122" i="21" s="1"/>
  <c r="D121" i="21"/>
  <c r="H121" i="21" s="1"/>
  <c r="D120" i="21"/>
  <c r="E120" i="21" s="1"/>
  <c r="D119" i="21"/>
  <c r="E119" i="21" s="1"/>
  <c r="D118" i="21"/>
  <c r="H118" i="21" s="1"/>
  <c r="D117" i="21"/>
  <c r="H117" i="21" s="1"/>
  <c r="D116" i="21"/>
  <c r="E116" i="21" s="1"/>
  <c r="D115" i="21"/>
  <c r="E115" i="21" s="1"/>
  <c r="D73" i="21"/>
  <c r="H73" i="21" s="1"/>
  <c r="D72" i="21"/>
  <c r="E72" i="21" s="1"/>
  <c r="D71" i="21"/>
  <c r="E71" i="21" s="1"/>
  <c r="D70" i="21"/>
  <c r="E70" i="21" s="1"/>
  <c r="D69" i="21"/>
  <c r="H69" i="21" s="1"/>
  <c r="D68" i="21"/>
  <c r="E68" i="21" s="1"/>
  <c r="D67" i="21"/>
  <c r="E67" i="21" s="1"/>
  <c r="D66" i="21"/>
  <c r="H66" i="21" s="1"/>
  <c r="D65" i="21"/>
  <c r="H65" i="21" s="1"/>
  <c r="D64" i="21"/>
  <c r="E64" i="21" s="1"/>
  <c r="D63" i="21"/>
  <c r="H63" i="21" s="1"/>
  <c r="D104" i="26"/>
  <c r="M175" i="26"/>
  <c r="D175" i="26"/>
  <c r="D144" i="26"/>
  <c r="E134" i="26"/>
  <c r="M115" i="26"/>
  <c r="D115" i="26"/>
  <c r="D47" i="26"/>
  <c r="D46" i="26"/>
  <c r="D45" i="26"/>
  <c r="D44" i="26"/>
  <c r="D43" i="26"/>
  <c r="H96" i="26" l="1"/>
  <c r="P95" i="26" s="1"/>
  <c r="H65" i="26"/>
  <c r="E43" i="26"/>
  <c r="H43" i="26"/>
  <c r="H64" i="21"/>
  <c r="H119" i="21"/>
  <c r="E121" i="21"/>
  <c r="H124" i="21"/>
  <c r="H120" i="21"/>
  <c r="E125" i="21"/>
  <c r="E63" i="21"/>
  <c r="H116" i="21"/>
  <c r="H146" i="21"/>
  <c r="H115" i="21"/>
  <c r="E117" i="21"/>
  <c r="E123" i="21"/>
  <c r="E114" i="21"/>
  <c r="E118" i="21"/>
  <c r="E122" i="21"/>
  <c r="E126" i="21"/>
  <c r="H67" i="21"/>
  <c r="H72" i="21"/>
  <c r="H71" i="21"/>
  <c r="H68" i="21"/>
  <c r="E65" i="21"/>
  <c r="E69" i="21"/>
  <c r="H70" i="21"/>
  <c r="E73" i="21"/>
  <c r="E66" i="21"/>
  <c r="E43" i="27"/>
  <c r="E49" i="27"/>
  <c r="E50" i="24" s="1"/>
  <c r="E41" i="27"/>
  <c r="E42" i="24" s="1"/>
  <c r="E25" i="27"/>
  <c r="E26" i="24" s="1"/>
  <c r="E9" i="27"/>
  <c r="E10" i="24" s="1"/>
  <c r="E24" i="27"/>
  <c r="E25" i="24" s="1"/>
  <c r="E21" i="27"/>
  <c r="E22" i="24" s="1"/>
  <c r="E50" i="27"/>
  <c r="E51" i="24" s="1"/>
  <c r="E23" i="27"/>
  <c r="E24" i="24" s="1"/>
  <c r="E22" i="27"/>
  <c r="E23" i="24" s="1"/>
  <c r="E15" i="27"/>
  <c r="E16" i="24" s="1"/>
  <c r="E12" i="27"/>
  <c r="E13" i="24" s="1"/>
  <c r="E44" i="27"/>
  <c r="E17" i="27"/>
  <c r="E18" i="24" s="1"/>
  <c r="E8" i="27"/>
  <c r="E9" i="24" s="1"/>
  <c r="E33" i="27"/>
  <c r="E36" i="27"/>
  <c r="E37" i="24" s="1"/>
  <c r="E32" i="27"/>
  <c r="E33" i="24" s="1"/>
  <c r="E13" i="27"/>
  <c r="E14" i="24" s="1"/>
  <c r="H127" i="21" l="1"/>
  <c r="H74" i="21"/>
  <c r="G33" i="27"/>
  <c r="E34" i="24"/>
  <c r="G44" i="27"/>
  <c r="E45" i="24"/>
  <c r="G43" i="27"/>
  <c r="E44" i="24"/>
  <c r="G45" i="25"/>
  <c r="G27" i="25"/>
  <c r="G29" i="25"/>
  <c r="G17" i="25"/>
  <c r="J17" i="25" s="1"/>
  <c r="G7" i="25"/>
  <c r="G35" i="25"/>
  <c r="G38" i="25"/>
  <c r="G39" i="25"/>
  <c r="G40" i="25"/>
  <c r="G31" i="25"/>
  <c r="G15" i="25"/>
  <c r="J15" i="25" s="1"/>
  <c r="G28" i="25"/>
  <c r="G13" i="25"/>
  <c r="J13" i="25" s="1"/>
  <c r="G10" i="25"/>
  <c r="L10" i="25" s="1"/>
  <c r="O10" i="25" s="1"/>
  <c r="G33" i="25"/>
  <c r="G41" i="25"/>
  <c r="G50" i="25"/>
  <c r="G25" i="25"/>
  <c r="G9" i="25"/>
  <c r="J9" i="25" s="1"/>
  <c r="G21" i="25"/>
  <c r="G42" i="25"/>
  <c r="L42" i="25" s="1"/>
  <c r="O42" i="25" s="1"/>
  <c r="G49" i="25"/>
  <c r="D153" i="30"/>
  <c r="H153" i="30" s="1"/>
  <c r="H152" i="30"/>
  <c r="H154" i="30" s="1"/>
  <c r="E152" i="30"/>
  <c r="D207" i="21"/>
  <c r="E207" i="21" s="1"/>
  <c r="G11" i="25"/>
  <c r="G23" i="25"/>
  <c r="G26" i="25"/>
  <c r="G34" i="25"/>
  <c r="G36" i="25"/>
  <c r="G46" i="25"/>
  <c r="L46" i="25" s="1"/>
  <c r="O46" i="25" s="1"/>
  <c r="G47" i="25"/>
  <c r="G48" i="25"/>
  <c r="G50" i="27"/>
  <c r="J50" i="27" s="1"/>
  <c r="G49" i="27"/>
  <c r="G48" i="27"/>
  <c r="J48" i="27" s="1"/>
  <c r="G47" i="27"/>
  <c r="G46" i="27"/>
  <c r="J46" i="27" s="1"/>
  <c r="G45" i="27"/>
  <c r="J44" i="27"/>
  <c r="G42" i="27"/>
  <c r="G41" i="27"/>
  <c r="G40" i="27"/>
  <c r="G39" i="27"/>
  <c r="L39" i="27" s="1"/>
  <c r="O39" i="27" s="1"/>
  <c r="G37" i="27"/>
  <c r="G36" i="27"/>
  <c r="G35" i="27"/>
  <c r="L35" i="27" s="1"/>
  <c r="O35" i="27" s="1"/>
  <c r="G34" i="27"/>
  <c r="J34" i="27" s="1"/>
  <c r="G32" i="27"/>
  <c r="G31" i="27"/>
  <c r="G30" i="27"/>
  <c r="G29" i="27"/>
  <c r="G28" i="27"/>
  <c r="G27" i="27"/>
  <c r="L27" i="27" s="1"/>
  <c r="O27" i="27" s="1"/>
  <c r="G26" i="27"/>
  <c r="J26" i="27" s="1"/>
  <c r="G25" i="27"/>
  <c r="G24" i="27"/>
  <c r="G23" i="27"/>
  <c r="G22" i="27"/>
  <c r="G21" i="27"/>
  <c r="G20" i="27"/>
  <c r="G19" i="27"/>
  <c r="L19" i="27" s="1"/>
  <c r="O19" i="27" s="1"/>
  <c r="G18" i="27"/>
  <c r="J18" i="27" s="1"/>
  <c r="G17" i="27"/>
  <c r="G16" i="27"/>
  <c r="G15" i="27"/>
  <c r="G14" i="27"/>
  <c r="G13" i="27"/>
  <c r="G12" i="27"/>
  <c r="G11" i="27"/>
  <c r="L11" i="27" s="1"/>
  <c r="O11" i="27" s="1"/>
  <c r="G10" i="27"/>
  <c r="J10" i="27" s="1"/>
  <c r="G9" i="27"/>
  <c r="G8" i="27"/>
  <c r="E7" i="27"/>
  <c r="G7" i="27" l="1"/>
  <c r="J7" i="27" s="1"/>
  <c r="E8" i="24"/>
  <c r="L38" i="25"/>
  <c r="O38" i="25" s="1"/>
  <c r="J38" i="25"/>
  <c r="H207" i="21"/>
  <c r="E153" i="30"/>
  <c r="L48" i="25"/>
  <c r="O48" i="25" s="1"/>
  <c r="J48" i="25"/>
  <c r="L40" i="25"/>
  <c r="O40" i="25" s="1"/>
  <c r="J40" i="25"/>
  <c r="G12" i="25"/>
  <c r="L12" i="25" s="1"/>
  <c r="O12" i="25" s="1"/>
  <c r="G16" i="25"/>
  <c r="J16" i="25" s="1"/>
  <c r="G20" i="25"/>
  <c r="J20" i="25" s="1"/>
  <c r="J42" i="25"/>
  <c r="G24" i="25"/>
  <c r="L24" i="25" s="1"/>
  <c r="O24" i="25" s="1"/>
  <c r="G32" i="25"/>
  <c r="L32" i="25" s="1"/>
  <c r="O32" i="25" s="1"/>
  <c r="G8" i="25"/>
  <c r="J8" i="25" s="1"/>
  <c r="G14" i="25"/>
  <c r="J14" i="25" s="1"/>
  <c r="G18" i="25"/>
  <c r="L18" i="25" s="1"/>
  <c r="O18" i="25" s="1"/>
  <c r="G22" i="25"/>
  <c r="J22" i="25" s="1"/>
  <c r="G30" i="25"/>
  <c r="J30" i="25" s="1"/>
  <c r="J46" i="25"/>
  <c r="J8" i="27"/>
  <c r="L8" i="27"/>
  <c r="O8" i="27" s="1"/>
  <c r="J14" i="27"/>
  <c r="L14" i="27"/>
  <c r="O14" i="27" s="1"/>
  <c r="J20" i="27"/>
  <c r="L20" i="27"/>
  <c r="O20" i="27" s="1"/>
  <c r="J24" i="27"/>
  <c r="L24" i="27"/>
  <c r="O24" i="27" s="1"/>
  <c r="J30" i="27"/>
  <c r="L30" i="27"/>
  <c r="O30" i="27" s="1"/>
  <c r="J36" i="27"/>
  <c r="L36" i="27"/>
  <c r="O36" i="27" s="1"/>
  <c r="J43" i="27"/>
  <c r="L43" i="27"/>
  <c r="O43" i="27" s="1"/>
  <c r="J47" i="27"/>
  <c r="L47" i="27"/>
  <c r="O47" i="27" s="1"/>
  <c r="L9" i="27"/>
  <c r="O9" i="27" s="1"/>
  <c r="J9" i="27"/>
  <c r="L15" i="27"/>
  <c r="O15" i="27" s="1"/>
  <c r="J15" i="27"/>
  <c r="L21" i="27"/>
  <c r="O21" i="27" s="1"/>
  <c r="J21" i="27"/>
  <c r="L25" i="27"/>
  <c r="O25" i="27" s="1"/>
  <c r="J25" i="27"/>
  <c r="L31" i="27"/>
  <c r="O31" i="27" s="1"/>
  <c r="J31" i="27"/>
  <c r="L37" i="27"/>
  <c r="O37" i="27" s="1"/>
  <c r="J37" i="27"/>
  <c r="J40" i="27"/>
  <c r="L40" i="27"/>
  <c r="O40" i="27" s="1"/>
  <c r="J12" i="27"/>
  <c r="L12" i="27"/>
  <c r="O12" i="27" s="1"/>
  <c r="J16" i="27"/>
  <c r="L16" i="27"/>
  <c r="O16" i="27" s="1"/>
  <c r="J22" i="27"/>
  <c r="L22" i="27"/>
  <c r="O22" i="27" s="1"/>
  <c r="J28" i="27"/>
  <c r="L28" i="27"/>
  <c r="O28" i="27" s="1"/>
  <c r="J32" i="27"/>
  <c r="L32" i="27"/>
  <c r="O32" i="27" s="1"/>
  <c r="L41" i="27"/>
  <c r="O41" i="27" s="1"/>
  <c r="J41" i="27"/>
  <c r="J45" i="27"/>
  <c r="L45" i="27"/>
  <c r="O45" i="27" s="1"/>
  <c r="J49" i="27"/>
  <c r="L49" i="27"/>
  <c r="O49" i="27" s="1"/>
  <c r="L7" i="27"/>
  <c r="O7" i="27" s="1"/>
  <c r="L13" i="27"/>
  <c r="O13" i="27" s="1"/>
  <c r="J13" i="27"/>
  <c r="L17" i="27"/>
  <c r="O17" i="27" s="1"/>
  <c r="J17" i="27"/>
  <c r="L23" i="27"/>
  <c r="O23" i="27" s="1"/>
  <c r="J23" i="27"/>
  <c r="L29" i="27"/>
  <c r="O29" i="27" s="1"/>
  <c r="J29" i="27"/>
  <c r="L33" i="27"/>
  <c r="O33" i="27" s="1"/>
  <c r="J33" i="27"/>
  <c r="J42" i="27"/>
  <c r="L42" i="27"/>
  <c r="O42" i="27" s="1"/>
  <c r="J11" i="27"/>
  <c r="L18" i="27"/>
  <c r="O18" i="27" s="1"/>
  <c r="J19" i="27"/>
  <c r="J27" i="27"/>
  <c r="J35" i="27"/>
  <c r="J39" i="27"/>
  <c r="L10" i="27"/>
  <c r="O10" i="27" s="1"/>
  <c r="L26" i="27"/>
  <c r="O26" i="27" s="1"/>
  <c r="L34" i="27"/>
  <c r="O34" i="27" s="1"/>
  <c r="L44" i="27"/>
  <c r="O44" i="27" s="1"/>
  <c r="L46" i="27"/>
  <c r="O46" i="27" s="1"/>
  <c r="L48" i="27"/>
  <c r="O48" i="27" s="1"/>
  <c r="L50" i="27"/>
  <c r="O50" i="27" s="1"/>
  <c r="J7" i="25"/>
  <c r="L7" i="25"/>
  <c r="O7" i="25" s="1"/>
  <c r="J11" i="25"/>
  <c r="L11" i="25"/>
  <c r="O11" i="25" s="1"/>
  <c r="L21" i="25"/>
  <c r="O21" i="25" s="1"/>
  <c r="J21" i="25"/>
  <c r="L9" i="25"/>
  <c r="O9" i="25" s="1"/>
  <c r="J10" i="25"/>
  <c r="L13" i="25"/>
  <c r="O13" i="25" s="1"/>
  <c r="L15" i="25"/>
  <c r="O15" i="25" s="1"/>
  <c r="L17" i="25"/>
  <c r="O17" i="25" s="1"/>
  <c r="L27" i="25"/>
  <c r="O27" i="25" s="1"/>
  <c r="J27" i="25"/>
  <c r="L35" i="25"/>
  <c r="O35" i="25" s="1"/>
  <c r="J35" i="25"/>
  <c r="L41" i="25"/>
  <c r="O41" i="25" s="1"/>
  <c r="J41" i="25"/>
  <c r="L45" i="25"/>
  <c r="O45" i="25" s="1"/>
  <c r="J45" i="25"/>
  <c r="L49" i="25"/>
  <c r="O49" i="25" s="1"/>
  <c r="J49" i="25"/>
  <c r="L25" i="25"/>
  <c r="O25" i="25" s="1"/>
  <c r="J25" i="25"/>
  <c r="L28" i="25"/>
  <c r="O28" i="25" s="1"/>
  <c r="J28" i="25"/>
  <c r="L33" i="25"/>
  <c r="O33" i="25" s="1"/>
  <c r="J33" i="25"/>
  <c r="J36" i="25"/>
  <c r="L36" i="25"/>
  <c r="O36" i="25" s="1"/>
  <c r="L29" i="25"/>
  <c r="O29" i="25" s="1"/>
  <c r="J29" i="25"/>
  <c r="L23" i="25"/>
  <c r="O23" i="25" s="1"/>
  <c r="J23" i="25"/>
  <c r="J26" i="25"/>
  <c r="L26" i="25"/>
  <c r="O26" i="25" s="1"/>
  <c r="L31" i="25"/>
  <c r="O31" i="25" s="1"/>
  <c r="J31" i="25"/>
  <c r="L34" i="25"/>
  <c r="O34" i="25" s="1"/>
  <c r="J34" i="25"/>
  <c r="L39" i="25"/>
  <c r="O39" i="25" s="1"/>
  <c r="J39" i="25"/>
  <c r="L43" i="25"/>
  <c r="O43" i="25" s="1"/>
  <c r="J43" i="25"/>
  <c r="L47" i="25"/>
  <c r="O47" i="25" s="1"/>
  <c r="J47" i="25"/>
  <c r="L50" i="25"/>
  <c r="O50" i="25" s="1"/>
  <c r="J50" i="25"/>
  <c r="J52" i="27" l="1"/>
  <c r="O52" i="27"/>
  <c r="J12" i="25"/>
  <c r="J24" i="25"/>
  <c r="L16" i="25"/>
  <c r="O16" i="25" s="1"/>
  <c r="J18" i="25"/>
  <c r="L22" i="25"/>
  <c r="O22" i="25" s="1"/>
  <c r="L30" i="25"/>
  <c r="O30" i="25" s="1"/>
  <c r="L20" i="25"/>
  <c r="O20" i="25" s="1"/>
  <c r="J32" i="25"/>
  <c r="L8" i="25"/>
  <c r="O8" i="25" s="1"/>
  <c r="L14" i="25"/>
  <c r="O14" i="25" s="1"/>
  <c r="AB11" i="24" l="1"/>
  <c r="AD11" i="24"/>
  <c r="C52" i="24"/>
  <c r="M184" i="30" l="1"/>
  <c r="N184" i="30" s="1"/>
  <c r="E184" i="30"/>
  <c r="M183" i="30"/>
  <c r="Q183" i="30" s="1"/>
  <c r="M182" i="30"/>
  <c r="M181" i="30"/>
  <c r="N181" i="30" s="1"/>
  <c r="N180" i="30"/>
  <c r="D179" i="30"/>
  <c r="H179" i="30" s="1"/>
  <c r="D178" i="30"/>
  <c r="H178" i="30" s="1"/>
  <c r="D177" i="30"/>
  <c r="D176" i="30"/>
  <c r="N175" i="30"/>
  <c r="D175" i="30"/>
  <c r="E175" i="30" s="1"/>
  <c r="Q174" i="30"/>
  <c r="D174" i="30"/>
  <c r="N173" i="30"/>
  <c r="D173" i="30"/>
  <c r="E173" i="30" s="1"/>
  <c r="Q172" i="30"/>
  <c r="D172" i="30"/>
  <c r="G19" i="25" s="1"/>
  <c r="Q171" i="30"/>
  <c r="N171" i="30"/>
  <c r="H171" i="30"/>
  <c r="H164" i="30"/>
  <c r="H163" i="30"/>
  <c r="E162" i="30"/>
  <c r="D146" i="30"/>
  <c r="E146" i="30" s="1"/>
  <c r="Q145" i="30"/>
  <c r="Q146" i="30" s="1"/>
  <c r="D145" i="30"/>
  <c r="H145" i="30" s="1"/>
  <c r="D144" i="30"/>
  <c r="D143" i="30"/>
  <c r="E143" i="30" s="1"/>
  <c r="D142" i="30"/>
  <c r="E142" i="30" s="1"/>
  <c r="D141" i="30"/>
  <c r="E141" i="30" s="1"/>
  <c r="M140" i="30"/>
  <c r="Q140" i="30" s="1"/>
  <c r="D140" i="30"/>
  <c r="M139" i="30"/>
  <c r="N139" i="30" s="1"/>
  <c r="D139" i="30"/>
  <c r="H139" i="30" s="1"/>
  <c r="M138" i="30"/>
  <c r="Q138" i="30" s="1"/>
  <c r="D138" i="30"/>
  <c r="M137" i="30"/>
  <c r="N137" i="30" s="1"/>
  <c r="D137" i="30"/>
  <c r="H137" i="30" s="1"/>
  <c r="Q136" i="30"/>
  <c r="M128" i="30"/>
  <c r="Q128" i="30" s="1"/>
  <c r="Q129" i="30" s="1"/>
  <c r="X115" i="30"/>
  <c r="W113" i="30"/>
  <c r="AA114" i="30" s="1"/>
  <c r="D113" i="30"/>
  <c r="E113" i="30" s="1"/>
  <c r="W112" i="30"/>
  <c r="AA113" i="30" s="1"/>
  <c r="D112" i="30"/>
  <c r="W111" i="30"/>
  <c r="AA112" i="30" s="1"/>
  <c r="M111" i="30"/>
  <c r="D111" i="30"/>
  <c r="E111" i="30" s="1"/>
  <c r="W110" i="30"/>
  <c r="X110" i="30" s="1"/>
  <c r="M110" i="30"/>
  <c r="Q110" i="30" s="1"/>
  <c r="D110" i="30"/>
  <c r="E110" i="30" s="1"/>
  <c r="W109" i="30"/>
  <c r="X109" i="30" s="1"/>
  <c r="M109" i="30"/>
  <c r="N109" i="30" s="1"/>
  <c r="D109" i="30"/>
  <c r="W108" i="30"/>
  <c r="M108" i="30"/>
  <c r="N108" i="30" s="1"/>
  <c r="D108" i="30"/>
  <c r="E108" i="30" s="1"/>
  <c r="AA107" i="30"/>
  <c r="E99" i="30"/>
  <c r="H98" i="30"/>
  <c r="H97" i="30"/>
  <c r="E87" i="30"/>
  <c r="E86" i="30"/>
  <c r="E85" i="30"/>
  <c r="D80" i="30"/>
  <c r="E80" i="30" s="1"/>
  <c r="M79" i="30"/>
  <c r="Q79" i="30" s="1"/>
  <c r="D79" i="30"/>
  <c r="H79" i="30" s="1"/>
  <c r="M78" i="30"/>
  <c r="N78" i="30" s="1"/>
  <c r="D78" i="30"/>
  <c r="E78" i="30" s="1"/>
  <c r="M77" i="30"/>
  <c r="Q77" i="30" s="1"/>
  <c r="D77" i="30"/>
  <c r="H77" i="30" s="1"/>
  <c r="M76" i="30"/>
  <c r="N76" i="30" s="1"/>
  <c r="D76" i="30"/>
  <c r="E76" i="30" s="1"/>
  <c r="Q75" i="30"/>
  <c r="H75" i="30"/>
  <c r="D68" i="30"/>
  <c r="H68" i="30" s="1"/>
  <c r="D67" i="30"/>
  <c r="E67" i="30" s="1"/>
  <c r="E66" i="30"/>
  <c r="Q54" i="30"/>
  <c r="Q55" i="30" s="1"/>
  <c r="E54" i="30"/>
  <c r="V53" i="30"/>
  <c r="Z53" i="30" s="1"/>
  <c r="E53" i="30"/>
  <c r="V52" i="30"/>
  <c r="W52" i="30" s="1"/>
  <c r="H52" i="30"/>
  <c r="V51" i="30"/>
  <c r="Z51" i="30" s="1"/>
  <c r="H51" i="30"/>
  <c r="E51" i="30"/>
  <c r="V50" i="30"/>
  <c r="W50" i="30" s="1"/>
  <c r="D50" i="30"/>
  <c r="H50" i="30" s="1"/>
  <c r="V49" i="30"/>
  <c r="Z49" i="30" s="1"/>
  <c r="M49" i="30"/>
  <c r="Q49" i="30" s="1"/>
  <c r="D49" i="30"/>
  <c r="E49" i="30" s="1"/>
  <c r="V48" i="30"/>
  <c r="Z48" i="30" s="1"/>
  <c r="M48" i="30"/>
  <c r="N48" i="30" s="1"/>
  <c r="D48" i="30"/>
  <c r="H48" i="30" s="1"/>
  <c r="V47" i="30"/>
  <c r="W47" i="30" s="1"/>
  <c r="M47" i="30"/>
  <c r="Q47" i="30" s="1"/>
  <c r="D47" i="30"/>
  <c r="H47" i="30" s="1"/>
  <c r="V46" i="30"/>
  <c r="Z46" i="30" s="1"/>
  <c r="M46" i="30"/>
  <c r="N46" i="30" s="1"/>
  <c r="D46" i="30"/>
  <c r="E46" i="30" s="1"/>
  <c r="Z45" i="30"/>
  <c r="Q45" i="30"/>
  <c r="D38" i="30"/>
  <c r="H38" i="30" s="1"/>
  <c r="D37" i="30"/>
  <c r="E37" i="30" s="1"/>
  <c r="D36" i="30"/>
  <c r="E36" i="30" s="1"/>
  <c r="E35" i="30"/>
  <c r="E144" i="26"/>
  <c r="E115" i="26"/>
  <c r="E104" i="26"/>
  <c r="D157" i="26"/>
  <c r="H157" i="26" s="1"/>
  <c r="D156" i="26"/>
  <c r="E156" i="26" s="1"/>
  <c r="D155" i="26"/>
  <c r="E155" i="26" s="1"/>
  <c r="D154" i="26"/>
  <c r="H154" i="26" s="1"/>
  <c r="D153" i="26"/>
  <c r="H153" i="26" s="1"/>
  <c r="D152" i="26"/>
  <c r="E152" i="26" s="1"/>
  <c r="D151" i="26"/>
  <c r="E151" i="26" s="1"/>
  <c r="D150" i="26"/>
  <c r="H150" i="26" s="1"/>
  <c r="D149" i="26"/>
  <c r="H149" i="26" s="1"/>
  <c r="D148" i="26"/>
  <c r="H148" i="26" s="1"/>
  <c r="D147" i="26"/>
  <c r="E147" i="26" s="1"/>
  <c r="D146" i="26"/>
  <c r="H146" i="26" s="1"/>
  <c r="D145" i="26"/>
  <c r="H145" i="26" s="1"/>
  <c r="H144" i="26"/>
  <c r="M134" i="26"/>
  <c r="Q134" i="26" s="1"/>
  <c r="Q135" i="26" s="1"/>
  <c r="D124" i="26"/>
  <c r="H124" i="26" s="1"/>
  <c r="D123" i="26"/>
  <c r="H123" i="26" s="1"/>
  <c r="D122" i="26"/>
  <c r="E122" i="26" s="1"/>
  <c r="D121" i="26"/>
  <c r="E121" i="26" s="1"/>
  <c r="D120" i="26"/>
  <c r="H120" i="26" s="1"/>
  <c r="D119" i="26"/>
  <c r="H119" i="26" s="1"/>
  <c r="D118" i="26"/>
  <c r="E118" i="26" s="1"/>
  <c r="D117" i="26"/>
  <c r="H117" i="26" s="1"/>
  <c r="D116" i="26"/>
  <c r="H116" i="26" s="1"/>
  <c r="H115" i="26"/>
  <c r="D106" i="26"/>
  <c r="E106" i="26" s="1"/>
  <c r="D105" i="26"/>
  <c r="H105" i="26" s="1"/>
  <c r="M266" i="21"/>
  <c r="M257" i="21"/>
  <c r="D249" i="21"/>
  <c r="D250" i="21"/>
  <c r="D251" i="21"/>
  <c r="D248" i="21"/>
  <c r="D237" i="21"/>
  <c r="D238" i="21"/>
  <c r="D222" i="21"/>
  <c r="D220" i="21"/>
  <c r="D216" i="21"/>
  <c r="M193" i="21"/>
  <c r="M194" i="21"/>
  <c r="D200" i="21"/>
  <c r="D198" i="21"/>
  <c r="D191" i="21"/>
  <c r="D171" i="21"/>
  <c r="D165" i="21"/>
  <c r="D169" i="21"/>
  <c r="W150" i="21"/>
  <c r="X150" i="21" s="1"/>
  <c r="W151" i="21"/>
  <c r="X151" i="21" s="1"/>
  <c r="W147" i="21"/>
  <c r="X147" i="21" s="1"/>
  <c r="M149" i="21"/>
  <c r="D151" i="21"/>
  <c r="E151" i="21" s="1"/>
  <c r="D147" i="21"/>
  <c r="E147" i="21" s="1"/>
  <c r="D137" i="21"/>
  <c r="D138" i="21"/>
  <c r="M64" i="21"/>
  <c r="M95" i="21"/>
  <c r="D97" i="21"/>
  <c r="D96" i="21"/>
  <c r="V52" i="21"/>
  <c r="V53" i="21"/>
  <c r="V47" i="21"/>
  <c r="V48" i="21"/>
  <c r="V49" i="21"/>
  <c r="M48" i="21"/>
  <c r="M46" i="21"/>
  <c r="M47" i="21"/>
  <c r="M49" i="21"/>
  <c r="D50" i="21"/>
  <c r="D47" i="21"/>
  <c r="D48" i="21"/>
  <c r="D49" i="21"/>
  <c r="D52" i="21"/>
  <c r="D46" i="21"/>
  <c r="D38" i="21"/>
  <c r="D36" i="21"/>
  <c r="D37" i="21"/>
  <c r="D95" i="21"/>
  <c r="D98" i="21"/>
  <c r="D99" i="21"/>
  <c r="M96" i="21"/>
  <c r="E120" i="26" l="1"/>
  <c r="E150" i="26"/>
  <c r="E146" i="26"/>
  <c r="E105" i="26"/>
  <c r="E157" i="26"/>
  <c r="H118" i="26"/>
  <c r="H121" i="26"/>
  <c r="H147" i="26"/>
  <c r="H152" i="26"/>
  <c r="H155" i="26"/>
  <c r="E117" i="26"/>
  <c r="E123" i="26"/>
  <c r="E153" i="26"/>
  <c r="E149" i="26"/>
  <c r="E154" i="26"/>
  <c r="H109" i="30"/>
  <c r="E109" i="30"/>
  <c r="E124" i="26"/>
  <c r="N134" i="26"/>
  <c r="E148" i="26"/>
  <c r="H112" i="30"/>
  <c r="E112" i="30"/>
  <c r="H122" i="26"/>
  <c r="H151" i="26"/>
  <c r="H156" i="26"/>
  <c r="E119" i="26"/>
  <c r="H141" i="30"/>
  <c r="J19" i="25"/>
  <c r="L19" i="25"/>
  <c r="O19" i="25" s="1"/>
  <c r="H45" i="30"/>
  <c r="G44" i="25"/>
  <c r="E116" i="26"/>
  <c r="G37" i="25"/>
  <c r="Q85" i="30"/>
  <c r="Q86" i="30" s="1"/>
  <c r="Z50" i="30"/>
  <c r="AA109" i="30"/>
  <c r="AA110" i="30"/>
  <c r="Q139" i="30"/>
  <c r="Q175" i="30"/>
  <c r="E178" i="30"/>
  <c r="H107" i="30"/>
  <c r="H108" i="30"/>
  <c r="H36" i="30"/>
  <c r="H173" i="30"/>
  <c r="W48" i="30"/>
  <c r="H78" i="30"/>
  <c r="N145" i="30"/>
  <c r="Q184" i="30"/>
  <c r="W45" i="30"/>
  <c r="Q48" i="30"/>
  <c r="H66" i="30"/>
  <c r="E75" i="30"/>
  <c r="H80" i="30"/>
  <c r="H99" i="30"/>
  <c r="H101" i="30" s="1"/>
  <c r="Q108" i="30"/>
  <c r="Q109" i="30"/>
  <c r="H111" i="30"/>
  <c r="E137" i="30"/>
  <c r="H162" i="30"/>
  <c r="H165" i="30" s="1"/>
  <c r="H175" i="30"/>
  <c r="E179" i="30"/>
  <c r="E52" i="30"/>
  <c r="H76" i="30"/>
  <c r="H81" i="30" s="1"/>
  <c r="H86" i="30"/>
  <c r="H143" i="30"/>
  <c r="W46" i="30"/>
  <c r="Z47" i="30"/>
  <c r="N49" i="30"/>
  <c r="Q76" i="30"/>
  <c r="E79" i="30"/>
  <c r="H142" i="30"/>
  <c r="Q181" i="30"/>
  <c r="H184" i="30"/>
  <c r="H185" i="30" s="1"/>
  <c r="N47" i="30"/>
  <c r="E50" i="30"/>
  <c r="Z52" i="30"/>
  <c r="W53" i="30"/>
  <c r="N77" i="30"/>
  <c r="E98" i="30"/>
  <c r="N110" i="30"/>
  <c r="X111" i="30"/>
  <c r="H113" i="30"/>
  <c r="Q137" i="30"/>
  <c r="Q141" i="30" s="1"/>
  <c r="E139" i="30"/>
  <c r="H146" i="30"/>
  <c r="N183" i="30"/>
  <c r="AA111" i="30"/>
  <c r="H37" i="30"/>
  <c r="H46" i="30"/>
  <c r="X112" i="30"/>
  <c r="Q173" i="30"/>
  <c r="Q176" i="30" s="1"/>
  <c r="H172" i="30"/>
  <c r="E172" i="30"/>
  <c r="H174" i="30"/>
  <c r="E174" i="30"/>
  <c r="H176" i="30"/>
  <c r="E176" i="30"/>
  <c r="N45" i="30"/>
  <c r="N54" i="30"/>
  <c r="H129" i="30"/>
  <c r="E128" i="30"/>
  <c r="H138" i="30"/>
  <c r="E138" i="30"/>
  <c r="E171" i="30"/>
  <c r="E38" i="30"/>
  <c r="E45" i="30"/>
  <c r="Q46" i="30"/>
  <c r="Q50" i="30" s="1"/>
  <c r="E47" i="30"/>
  <c r="E48" i="30"/>
  <c r="H49" i="30"/>
  <c r="W49" i="30"/>
  <c r="W51" i="30"/>
  <c r="N75" i="30"/>
  <c r="E77" i="30"/>
  <c r="Q78" i="30"/>
  <c r="N79" i="30"/>
  <c r="H85" i="30"/>
  <c r="Q107" i="30"/>
  <c r="N107" i="30"/>
  <c r="AA108" i="30"/>
  <c r="X108" i="30"/>
  <c r="H110" i="30"/>
  <c r="Q111" i="30"/>
  <c r="N111" i="30"/>
  <c r="X113" i="30"/>
  <c r="E145" i="30"/>
  <c r="N172" i="30"/>
  <c r="N174" i="30"/>
  <c r="H177" i="30"/>
  <c r="E177" i="30"/>
  <c r="H144" i="30"/>
  <c r="E144" i="30"/>
  <c r="E68" i="30"/>
  <c r="E97" i="30"/>
  <c r="H136" i="30"/>
  <c r="E136" i="30"/>
  <c r="H140" i="30"/>
  <c r="E140" i="30"/>
  <c r="E163" i="30"/>
  <c r="Q182" i="30"/>
  <c r="N182" i="30"/>
  <c r="H67" i="30"/>
  <c r="N128" i="30"/>
  <c r="N136" i="30"/>
  <c r="N138" i="30"/>
  <c r="N140" i="30"/>
  <c r="Q162" i="30"/>
  <c r="Q163" i="30" s="1"/>
  <c r="N162" i="30"/>
  <c r="E164" i="30"/>
  <c r="E145" i="26"/>
  <c r="H104" i="26"/>
  <c r="H106" i="26"/>
  <c r="B48" i="15"/>
  <c r="E48" i="15" s="1"/>
  <c r="B47" i="15"/>
  <c r="E47" i="15" s="1"/>
  <c r="B43" i="15"/>
  <c r="E43" i="15" s="1"/>
  <c r="E41" i="15"/>
  <c r="E40" i="15"/>
  <c r="B39" i="15"/>
  <c r="E39" i="15" s="1"/>
  <c r="B38" i="15"/>
  <c r="E38" i="15" s="1"/>
  <c r="B34" i="15"/>
  <c r="E34" i="15" s="1"/>
  <c r="B31" i="15"/>
  <c r="E31" i="15" s="1"/>
  <c r="B30" i="15"/>
  <c r="E30" i="15" s="1"/>
  <c r="B29" i="15"/>
  <c r="E29" i="15" s="1"/>
  <c r="B27" i="15"/>
  <c r="E27" i="15" s="1"/>
  <c r="U153" i="21"/>
  <c r="B25" i="15" s="1"/>
  <c r="E25" i="15" s="1"/>
  <c r="B28" i="15"/>
  <c r="E28" i="15" s="1"/>
  <c r="B20" i="15"/>
  <c r="E20" i="15" s="1"/>
  <c r="B17" i="15"/>
  <c r="E17" i="15" s="1"/>
  <c r="E12" i="15"/>
  <c r="B11" i="15"/>
  <c r="E11" i="15" s="1"/>
  <c r="B8" i="15"/>
  <c r="E54" i="21"/>
  <c r="H108" i="26" l="1"/>
  <c r="Q80" i="30"/>
  <c r="H158" i="26"/>
  <c r="H125" i="26"/>
  <c r="H180" i="30"/>
  <c r="Z54" i="30"/>
  <c r="Q185" i="30"/>
  <c r="Q112" i="30"/>
  <c r="Q188" i="30"/>
  <c r="H69" i="30"/>
  <c r="R89" i="30" s="1"/>
  <c r="H147" i="30"/>
  <c r="R152" i="30" s="1"/>
  <c r="H88" i="30"/>
  <c r="H55" i="30"/>
  <c r="H39" i="30"/>
  <c r="H114" i="30"/>
  <c r="L44" i="25"/>
  <c r="O44" i="25" s="1"/>
  <c r="J44" i="25"/>
  <c r="J52" i="25" s="1"/>
  <c r="L37" i="25"/>
  <c r="O37" i="25" s="1"/>
  <c r="J37" i="25"/>
  <c r="B33" i="15"/>
  <c r="E33" i="15" s="1"/>
  <c r="B37" i="15"/>
  <c r="E37" i="15" s="1"/>
  <c r="E198" i="21"/>
  <c r="AA151" i="21"/>
  <c r="H171" i="21"/>
  <c r="E171" i="21"/>
  <c r="B36" i="15"/>
  <c r="E36" i="15" s="1"/>
  <c r="B32" i="15"/>
  <c r="E32" i="15" s="1"/>
  <c r="E53" i="21"/>
  <c r="B15" i="15"/>
  <c r="E15" i="15" s="1"/>
  <c r="D152" i="21"/>
  <c r="E152" i="21" s="1"/>
  <c r="H151" i="21"/>
  <c r="D150" i="21"/>
  <c r="D149" i="21"/>
  <c r="D148" i="21"/>
  <c r="E148" i="21" s="1"/>
  <c r="H147" i="21"/>
  <c r="O52" i="25" l="1"/>
  <c r="R58" i="30"/>
  <c r="H149" i="21"/>
  <c r="E149" i="21"/>
  <c r="H150" i="21"/>
  <c r="E150" i="21"/>
  <c r="H152" i="21"/>
  <c r="H148" i="21"/>
  <c r="H153" i="21" l="1"/>
  <c r="K19" i="24"/>
  <c r="J19" i="24"/>
  <c r="K18" i="24"/>
  <c r="J18" i="24"/>
  <c r="N236" i="21" l="1"/>
  <c r="N182" i="21"/>
  <c r="Q236" i="21" l="1"/>
  <c r="Q237" i="21" s="1"/>
  <c r="B18" i="15"/>
  <c r="Q182" i="21"/>
  <c r="Q183" i="21" s="1"/>
  <c r="B19" i="15"/>
  <c r="E19" i="15" l="1"/>
  <c r="C19" i="24" s="1"/>
  <c r="H19" i="24" s="1"/>
  <c r="E18" i="15"/>
  <c r="G18" i="15" s="1"/>
  <c r="AD19" i="24"/>
  <c r="AB19" i="24"/>
  <c r="AB18" i="24"/>
  <c r="AD18" i="24"/>
  <c r="G19" i="15" l="1"/>
  <c r="L19" i="15" s="1"/>
  <c r="O19" i="15" s="1"/>
  <c r="C18" i="24"/>
  <c r="H18" i="24" s="1"/>
  <c r="I19" i="24"/>
  <c r="M19" i="24" s="1"/>
  <c r="I18" i="24"/>
  <c r="J19" i="15"/>
  <c r="J18" i="15"/>
  <c r="L18" i="15"/>
  <c r="O18" i="15" s="1"/>
  <c r="M18" i="24" l="1"/>
  <c r="P18" i="24" s="1"/>
  <c r="P19" i="24"/>
  <c r="R19" i="24"/>
  <c r="W19" i="24" s="1"/>
  <c r="C50" i="24"/>
  <c r="G45" i="15"/>
  <c r="G44" i="15"/>
  <c r="G34" i="15"/>
  <c r="C17" i="24"/>
  <c r="C16" i="24"/>
  <c r="C12" i="24"/>
  <c r="E8" i="15"/>
  <c r="C8" i="24" s="1"/>
  <c r="D268" i="21"/>
  <c r="E268" i="21" s="1"/>
  <c r="D267" i="21"/>
  <c r="E267" i="21" s="1"/>
  <c r="Q266" i="21"/>
  <c r="D266" i="21"/>
  <c r="H266" i="21" s="1"/>
  <c r="M265" i="21"/>
  <c r="E265" i="21"/>
  <c r="M258" i="21"/>
  <c r="E258" i="21"/>
  <c r="Q257" i="21"/>
  <c r="N257" i="21"/>
  <c r="M256" i="21"/>
  <c r="Q256" i="21" s="1"/>
  <c r="M255" i="21"/>
  <c r="N254" i="21"/>
  <c r="D253" i="21"/>
  <c r="E253" i="21" s="1"/>
  <c r="D252" i="21"/>
  <c r="E252" i="21" s="1"/>
  <c r="Q248" i="21"/>
  <c r="H248" i="21"/>
  <c r="D247" i="21"/>
  <c r="E247" i="21" s="1"/>
  <c r="N246" i="21"/>
  <c r="D246" i="21"/>
  <c r="H246" i="21" s="1"/>
  <c r="H245" i="21"/>
  <c r="E238" i="21"/>
  <c r="H237" i="21"/>
  <c r="H236" i="21"/>
  <c r="D227" i="21"/>
  <c r="E227" i="21" s="1"/>
  <c r="D226" i="21"/>
  <c r="H226" i="21" s="1"/>
  <c r="D225" i="21"/>
  <c r="D224" i="21"/>
  <c r="E224" i="21" s="1"/>
  <c r="D223" i="21"/>
  <c r="H223" i="21" s="1"/>
  <c r="E222" i="21"/>
  <c r="H222" i="21"/>
  <c r="D221" i="21"/>
  <c r="H220" i="21"/>
  <c r="D219" i="21"/>
  <c r="E219" i="21" s="1"/>
  <c r="D218" i="21"/>
  <c r="H218" i="21" s="1"/>
  <c r="D217" i="21"/>
  <c r="H216" i="21"/>
  <c r="E216" i="21"/>
  <c r="D215" i="21"/>
  <c r="E215" i="21" s="1"/>
  <c r="H214" i="21"/>
  <c r="H200" i="21"/>
  <c r="D199" i="21"/>
  <c r="E199" i="21" s="1"/>
  <c r="H198" i="21"/>
  <c r="D197" i="21"/>
  <c r="H197" i="21" s="1"/>
  <c r="D196" i="21"/>
  <c r="D195" i="21"/>
  <c r="Q194" i="21"/>
  <c r="D194" i="21"/>
  <c r="H194" i="21" s="1"/>
  <c r="Q193" i="21"/>
  <c r="D193" i="21"/>
  <c r="M192" i="21"/>
  <c r="Q192" i="21" s="1"/>
  <c r="D192" i="21"/>
  <c r="E192" i="21" s="1"/>
  <c r="M191" i="21"/>
  <c r="Q191" i="21" s="1"/>
  <c r="N190" i="21"/>
  <c r="E190" i="21"/>
  <c r="H182" i="21"/>
  <c r="H183" i="21" s="1"/>
  <c r="D173" i="21"/>
  <c r="H173" i="21" s="1"/>
  <c r="D172" i="21"/>
  <c r="E172" i="21" s="1"/>
  <c r="D170" i="21"/>
  <c r="H170" i="21" s="1"/>
  <c r="D168" i="21"/>
  <c r="E168" i="21" s="1"/>
  <c r="D167" i="21"/>
  <c r="H167" i="21" s="1"/>
  <c r="D166" i="21"/>
  <c r="H166" i="21" s="1"/>
  <c r="E164" i="21"/>
  <c r="M104" i="21"/>
  <c r="AA154" i="21"/>
  <c r="W152" i="21"/>
  <c r="AA152" i="21"/>
  <c r="W149" i="21"/>
  <c r="M150" i="21"/>
  <c r="N150" i="21" s="1"/>
  <c r="W148" i="21"/>
  <c r="M148" i="21"/>
  <c r="Q148" i="21" s="1"/>
  <c r="AA147" i="21"/>
  <c r="M147" i="21"/>
  <c r="Q147" i="21" s="1"/>
  <c r="W146" i="21"/>
  <c r="Q63" i="21"/>
  <c r="N63" i="21"/>
  <c r="D106" i="21"/>
  <c r="H106" i="21" s="1"/>
  <c r="D105" i="21"/>
  <c r="E105" i="21" s="1"/>
  <c r="H99" i="21"/>
  <c r="M98" i="21"/>
  <c r="Q98" i="21" s="1"/>
  <c r="H98" i="21"/>
  <c r="M97" i="21"/>
  <c r="Q96" i="21"/>
  <c r="N96" i="21"/>
  <c r="H96" i="21"/>
  <c r="H95" i="21"/>
  <c r="N94" i="21"/>
  <c r="H94" i="21"/>
  <c r="D87" i="21"/>
  <c r="H87" i="21" s="1"/>
  <c r="D86" i="21"/>
  <c r="D85" i="21"/>
  <c r="H85" i="21" s="1"/>
  <c r="M54" i="21"/>
  <c r="Q54" i="21" s="1"/>
  <c r="Q55" i="21" s="1"/>
  <c r="Z53" i="21"/>
  <c r="W52" i="21"/>
  <c r="H51" i="21"/>
  <c r="E51" i="21"/>
  <c r="V51" i="21"/>
  <c r="W51" i="21" s="1"/>
  <c r="V50" i="21"/>
  <c r="Z50" i="21" s="1"/>
  <c r="H49" i="21"/>
  <c r="Z49" i="21"/>
  <c r="N49" i="21"/>
  <c r="H48" i="21"/>
  <c r="E47" i="21"/>
  <c r="W47" i="21"/>
  <c r="Q47" i="21"/>
  <c r="V46" i="21"/>
  <c r="Z46" i="21" s="1"/>
  <c r="Q46" i="21"/>
  <c r="V45" i="21"/>
  <c r="Z45" i="21" s="1"/>
  <c r="N45" i="21"/>
  <c r="E45" i="21"/>
  <c r="E38" i="21"/>
  <c r="H37" i="21"/>
  <c r="H36" i="21"/>
  <c r="R18" i="24" l="1"/>
  <c r="W18" i="24" s="1"/>
  <c r="AA149" i="21"/>
  <c r="X149" i="21"/>
  <c r="N104" i="21"/>
  <c r="Q104" i="21"/>
  <c r="X146" i="21"/>
  <c r="AA146" i="21"/>
  <c r="AA148" i="21"/>
  <c r="X148" i="21"/>
  <c r="AA153" i="21"/>
  <c r="X152" i="21"/>
  <c r="C39" i="24"/>
  <c r="G39" i="15"/>
  <c r="H267" i="21"/>
  <c r="N164" i="21"/>
  <c r="Q164" i="21"/>
  <c r="Q165" i="21" s="1"/>
  <c r="G27" i="15"/>
  <c r="J27" i="15" s="1"/>
  <c r="C27" i="24"/>
  <c r="G35" i="15"/>
  <c r="J35" i="15" s="1"/>
  <c r="C35" i="24"/>
  <c r="G47" i="15"/>
  <c r="L47" i="15" s="1"/>
  <c r="O47" i="15" s="1"/>
  <c r="C47" i="24"/>
  <c r="G24" i="15"/>
  <c r="J24" i="15" s="1"/>
  <c r="C24" i="24"/>
  <c r="G28" i="15"/>
  <c r="L28" i="15" s="1"/>
  <c r="O28" i="15" s="1"/>
  <c r="C28" i="24"/>
  <c r="G32" i="15"/>
  <c r="J32" i="15" s="1"/>
  <c r="C32" i="24"/>
  <c r="G40" i="15"/>
  <c r="L40" i="15" s="1"/>
  <c r="O40" i="15" s="1"/>
  <c r="C40" i="24"/>
  <c r="L44" i="15"/>
  <c r="O44" i="15" s="1"/>
  <c r="C44" i="24"/>
  <c r="G48" i="15"/>
  <c r="J48" i="15" s="1"/>
  <c r="C48" i="24"/>
  <c r="G13" i="15"/>
  <c r="J13" i="15" s="1"/>
  <c r="C13" i="24"/>
  <c r="G20" i="15"/>
  <c r="L20" i="15" s="1"/>
  <c r="O20" i="15" s="1"/>
  <c r="C20" i="24"/>
  <c r="G25" i="15"/>
  <c r="J25" i="15" s="1"/>
  <c r="C25" i="24"/>
  <c r="G29" i="15"/>
  <c r="L29" i="15" s="1"/>
  <c r="O29" i="15" s="1"/>
  <c r="C29" i="24"/>
  <c r="G33" i="15"/>
  <c r="L33" i="15" s="1"/>
  <c r="O33" i="15" s="1"/>
  <c r="C33" i="24"/>
  <c r="G37" i="15"/>
  <c r="L37" i="15" s="1"/>
  <c r="O37" i="15" s="1"/>
  <c r="C37" i="24"/>
  <c r="G41" i="15"/>
  <c r="L41" i="15" s="1"/>
  <c r="O41" i="15" s="1"/>
  <c r="C41" i="24"/>
  <c r="J45" i="15"/>
  <c r="C45" i="24"/>
  <c r="G49" i="15"/>
  <c r="L49" i="15" s="1"/>
  <c r="O49" i="15" s="1"/>
  <c r="C49" i="24"/>
  <c r="G11" i="15"/>
  <c r="L11" i="15" s="1"/>
  <c r="O11" i="15" s="1"/>
  <c r="C11" i="24"/>
  <c r="H11" i="24" s="1"/>
  <c r="M11" i="24" s="1"/>
  <c r="G23" i="15"/>
  <c r="J23" i="15" s="1"/>
  <c r="C23" i="24"/>
  <c r="G31" i="15"/>
  <c r="J31" i="15" s="1"/>
  <c r="C31" i="24"/>
  <c r="G43" i="15"/>
  <c r="J43" i="15" s="1"/>
  <c r="C43" i="24"/>
  <c r="G36" i="15"/>
  <c r="L36" i="15" s="1"/>
  <c r="O36" i="15" s="1"/>
  <c r="C36" i="24"/>
  <c r="G9" i="15"/>
  <c r="L9" i="15" s="1"/>
  <c r="O9" i="15" s="1"/>
  <c r="C9" i="24"/>
  <c r="G15" i="15"/>
  <c r="J15" i="15" s="1"/>
  <c r="C15" i="24"/>
  <c r="G21" i="15"/>
  <c r="J21" i="15" s="1"/>
  <c r="C21" i="24"/>
  <c r="G26" i="15"/>
  <c r="J26" i="15" s="1"/>
  <c r="C26" i="24"/>
  <c r="G30" i="15"/>
  <c r="L30" i="15" s="1"/>
  <c r="O30" i="15" s="1"/>
  <c r="C30" i="24"/>
  <c r="J34" i="15"/>
  <c r="C34" i="24"/>
  <c r="G38" i="15"/>
  <c r="L38" i="15" s="1"/>
  <c r="O38" i="15" s="1"/>
  <c r="C38" i="24"/>
  <c r="G42" i="15"/>
  <c r="L42" i="15" s="1"/>
  <c r="O42" i="15" s="1"/>
  <c r="C42" i="24"/>
  <c r="G46" i="15"/>
  <c r="J46" i="15" s="1"/>
  <c r="C46" i="24"/>
  <c r="U19" i="24"/>
  <c r="Z19" i="24"/>
  <c r="G50" i="15"/>
  <c r="J50" i="15" s="1"/>
  <c r="E182" i="21"/>
  <c r="H192" i="21"/>
  <c r="H238" i="21"/>
  <c r="H239" i="21" s="1"/>
  <c r="E36" i="21"/>
  <c r="N98" i="21"/>
  <c r="E104" i="21"/>
  <c r="E173" i="21"/>
  <c r="N266" i="21"/>
  <c r="E223" i="21"/>
  <c r="E245" i="21"/>
  <c r="Q246" i="21"/>
  <c r="N248" i="21"/>
  <c r="H268" i="21"/>
  <c r="Q45" i="21"/>
  <c r="H105" i="21"/>
  <c r="E166" i="21"/>
  <c r="H190" i="21"/>
  <c r="H215" i="21"/>
  <c r="E194" i="21"/>
  <c r="H252" i="21"/>
  <c r="H219" i="21"/>
  <c r="E197" i="21"/>
  <c r="H224" i="21"/>
  <c r="H247" i="21"/>
  <c r="N54" i="21"/>
  <c r="W50" i="21"/>
  <c r="Z52" i="21"/>
  <c r="N146" i="21"/>
  <c r="H164" i="21"/>
  <c r="E167" i="21"/>
  <c r="H168" i="21"/>
  <c r="H172" i="21"/>
  <c r="N192" i="21"/>
  <c r="N194" i="21"/>
  <c r="E220" i="21"/>
  <c r="H227" i="21"/>
  <c r="E248" i="21"/>
  <c r="E98" i="21"/>
  <c r="E226" i="21"/>
  <c r="H47" i="21"/>
  <c r="E49" i="21"/>
  <c r="H258" i="21"/>
  <c r="H259" i="21" s="1"/>
  <c r="H253" i="21"/>
  <c r="E237" i="21"/>
  <c r="Q190" i="21"/>
  <c r="Q195" i="21" s="1"/>
  <c r="N191" i="21"/>
  <c r="H199" i="21"/>
  <c r="Q150" i="21"/>
  <c r="N147" i="21"/>
  <c r="E95" i="21"/>
  <c r="E99" i="21"/>
  <c r="E87" i="21"/>
  <c r="E85" i="21"/>
  <c r="W45" i="21"/>
  <c r="W46" i="21"/>
  <c r="Q49" i="21"/>
  <c r="E35" i="21"/>
  <c r="H265" i="21"/>
  <c r="H269" i="21" s="1"/>
  <c r="Q254" i="21"/>
  <c r="G12" i="15"/>
  <c r="J12" i="15" s="1"/>
  <c r="G8" i="15"/>
  <c r="L8" i="15" s="1"/>
  <c r="O8" i="15" s="1"/>
  <c r="G16" i="15"/>
  <c r="L16" i="15" s="1"/>
  <c r="O16" i="15" s="1"/>
  <c r="G17" i="15"/>
  <c r="L17" i="15" s="1"/>
  <c r="O17" i="15" s="1"/>
  <c r="Q95" i="21"/>
  <c r="N95" i="21"/>
  <c r="H217" i="21"/>
  <c r="E217" i="21"/>
  <c r="N46" i="21"/>
  <c r="E48" i="21"/>
  <c r="H86" i="21"/>
  <c r="H88" i="21" s="1"/>
  <c r="E86" i="21"/>
  <c r="E94" i="21"/>
  <c r="E106" i="21"/>
  <c r="Q64" i="21"/>
  <c r="Q65" i="21" s="1"/>
  <c r="N64" i="21"/>
  <c r="N193" i="21"/>
  <c r="E200" i="21"/>
  <c r="H221" i="21"/>
  <c r="E221" i="21"/>
  <c r="E236" i="21"/>
  <c r="N256" i="21"/>
  <c r="E37" i="21"/>
  <c r="H38" i="21"/>
  <c r="H39" i="21" s="1"/>
  <c r="H45" i="21"/>
  <c r="N47" i="21"/>
  <c r="Z47" i="21"/>
  <c r="W49" i="21"/>
  <c r="E96" i="21"/>
  <c r="N148" i="21"/>
  <c r="AA150" i="21"/>
  <c r="H165" i="21"/>
  <c r="E165" i="21"/>
  <c r="H191" i="21"/>
  <c r="E191" i="21"/>
  <c r="H196" i="21"/>
  <c r="E196" i="21"/>
  <c r="E218" i="21"/>
  <c r="H225" i="21"/>
  <c r="E225" i="21"/>
  <c r="E246" i="21"/>
  <c r="Q249" i="21"/>
  <c r="N249" i="21"/>
  <c r="E266" i="21"/>
  <c r="H195" i="21"/>
  <c r="E195" i="21"/>
  <c r="Q245" i="21"/>
  <c r="N245" i="21"/>
  <c r="Q265" i="21"/>
  <c r="Q267" i="21" s="1"/>
  <c r="N265" i="21"/>
  <c r="Z51" i="21"/>
  <c r="W53" i="21"/>
  <c r="Q97" i="21"/>
  <c r="N97" i="21"/>
  <c r="Q149" i="21"/>
  <c r="N149" i="21"/>
  <c r="E170" i="21"/>
  <c r="Q247" i="21"/>
  <c r="N247" i="21"/>
  <c r="H52" i="21"/>
  <c r="E52" i="21"/>
  <c r="H169" i="21"/>
  <c r="E169" i="21"/>
  <c r="H193" i="21"/>
  <c r="E193" i="21"/>
  <c r="Q200" i="21"/>
  <c r="N199" i="21"/>
  <c r="H206" i="21"/>
  <c r="H208" i="21" s="1"/>
  <c r="E206" i="21"/>
  <c r="Q255" i="21"/>
  <c r="N255" i="21"/>
  <c r="Q258" i="21"/>
  <c r="N258" i="21"/>
  <c r="Q151" i="21" l="1"/>
  <c r="Z18" i="24"/>
  <c r="U18" i="24"/>
  <c r="H228" i="21"/>
  <c r="Q259" i="21"/>
  <c r="AA155" i="21"/>
  <c r="Q250" i="21"/>
  <c r="H174" i="21"/>
  <c r="H201" i="21"/>
  <c r="Q99" i="21"/>
  <c r="J39" i="15"/>
  <c r="L39" i="15"/>
  <c r="O39" i="15" s="1"/>
  <c r="L24" i="15"/>
  <c r="O24" i="15" s="1"/>
  <c r="J11" i="15"/>
  <c r="J30" i="15"/>
  <c r="J38" i="15"/>
  <c r="J41" i="15"/>
  <c r="J44" i="15"/>
  <c r="L13" i="15"/>
  <c r="O13" i="15" s="1"/>
  <c r="H107" i="21"/>
  <c r="J33" i="15"/>
  <c r="J47" i="15"/>
  <c r="J40" i="15"/>
  <c r="J29" i="15"/>
  <c r="L45" i="15"/>
  <c r="O45" i="15" s="1"/>
  <c r="L21" i="15"/>
  <c r="O21" i="15" s="1"/>
  <c r="L48" i="15"/>
  <c r="O48" i="15" s="1"/>
  <c r="J28" i="15"/>
  <c r="L31" i="15"/>
  <c r="O31" i="15" s="1"/>
  <c r="J42" i="15"/>
  <c r="J37" i="15"/>
  <c r="L34" i="15"/>
  <c r="O34" i="15" s="1"/>
  <c r="J36" i="15"/>
  <c r="L27" i="15"/>
  <c r="O27" i="15" s="1"/>
  <c r="J20" i="15"/>
  <c r="L46" i="15"/>
  <c r="O46" i="15" s="1"/>
  <c r="L23" i="15"/>
  <c r="O23" i="15" s="1"/>
  <c r="L35" i="15"/>
  <c r="O35" i="15" s="1"/>
  <c r="L15" i="15"/>
  <c r="O15" i="15" s="1"/>
  <c r="L43" i="15"/>
  <c r="O43" i="15" s="1"/>
  <c r="L25" i="15"/>
  <c r="O25" i="15" s="1"/>
  <c r="J49" i="15"/>
  <c r="L26" i="15"/>
  <c r="O26" i="15" s="1"/>
  <c r="J9" i="15"/>
  <c r="P11" i="24"/>
  <c r="R11" i="24"/>
  <c r="W11" i="24" s="1"/>
  <c r="L32" i="15"/>
  <c r="O32" i="15" s="1"/>
  <c r="L50" i="15"/>
  <c r="O50" i="15" s="1"/>
  <c r="J16" i="15"/>
  <c r="L12" i="15"/>
  <c r="O12" i="15" s="1"/>
  <c r="J17" i="15"/>
  <c r="J8" i="15"/>
  <c r="N228" i="21" l="1"/>
  <c r="Z11" i="24"/>
  <c r="U11" i="24"/>
  <c r="Q155" i="28" l="1"/>
  <c r="Q156" i="28" s="1"/>
  <c r="H118" i="28"/>
  <c r="H119" i="28" l="1"/>
  <c r="N134" i="28" s="1"/>
  <c r="AH191" i="28"/>
  <c r="H164" i="28"/>
  <c r="N191" i="28" s="1"/>
  <c r="K25" i="24"/>
  <c r="K22" i="24"/>
  <c r="K26" i="24"/>
  <c r="K29" i="24"/>
  <c r="K40" i="24"/>
  <c r="K51" i="24"/>
  <c r="K14" i="24"/>
  <c r="K23" i="24"/>
  <c r="K30" i="24"/>
  <c r="K32" i="24"/>
  <c r="K37" i="24"/>
  <c r="K45" i="24"/>
  <c r="K21" i="24"/>
  <c r="K52" i="24"/>
  <c r="K39" i="24"/>
  <c r="K47" i="24"/>
  <c r="K15" i="24"/>
  <c r="K33" i="24"/>
  <c r="K42" i="24"/>
  <c r="K46" i="24"/>
  <c r="K10" i="24"/>
  <c r="K9" i="24"/>
  <c r="K27" i="24"/>
  <c r="K31" i="24"/>
  <c r="K24" i="24"/>
  <c r="K35" i="24"/>
  <c r="K34" i="24"/>
  <c r="K48" i="24"/>
  <c r="K13" i="24"/>
  <c r="K38" i="24"/>
  <c r="H39" i="24"/>
  <c r="I39" i="24"/>
  <c r="J39" i="24"/>
  <c r="K8" i="24"/>
  <c r="K12" i="24"/>
  <c r="K16" i="24"/>
  <c r="K17" i="24"/>
  <c r="K20" i="24"/>
  <c r="K28" i="24"/>
  <c r="K36" i="24"/>
  <c r="K41" i="24"/>
  <c r="K43" i="24"/>
  <c r="K44" i="24"/>
  <c r="K49" i="24"/>
  <c r="K50" i="24"/>
  <c r="J52" i="24"/>
  <c r="H31" i="24"/>
  <c r="H36" i="24"/>
  <c r="H40" i="24"/>
  <c r="J48" i="24"/>
  <c r="J45" i="24"/>
  <c r="E178" i="26"/>
  <c r="D178" i="26"/>
  <c r="H178" i="26" s="1"/>
  <c r="E177" i="26"/>
  <c r="D177" i="26"/>
  <c r="H177" i="26" s="1"/>
  <c r="N176" i="26"/>
  <c r="M176" i="26"/>
  <c r="Q176" i="26" s="1"/>
  <c r="E176" i="26"/>
  <c r="D176" i="26"/>
  <c r="H176" i="26" s="1"/>
  <c r="N175" i="26"/>
  <c r="Q175" i="26"/>
  <c r="Q177" i="26" s="1"/>
  <c r="E175" i="26"/>
  <c r="H175" i="26"/>
  <c r="D134" i="26"/>
  <c r="H134" i="26" s="1"/>
  <c r="H135" i="26" s="1"/>
  <c r="P158" i="26" s="1"/>
  <c r="Q115" i="26"/>
  <c r="Q116" i="26" s="1"/>
  <c r="P126" i="26" s="1"/>
  <c r="N115" i="26"/>
  <c r="E47" i="26"/>
  <c r="H46" i="26"/>
  <c r="H45" i="26"/>
  <c r="E44" i="26"/>
  <c r="H179" i="26" l="1"/>
  <c r="P181" i="26"/>
  <c r="N300" i="28"/>
  <c r="H47" i="26"/>
  <c r="J14" i="24"/>
  <c r="J38" i="24"/>
  <c r="J8" i="24"/>
  <c r="J12" i="24"/>
  <c r="J15" i="24"/>
  <c r="J20" i="24"/>
  <c r="J25" i="24"/>
  <c r="J28" i="24"/>
  <c r="J35" i="24"/>
  <c r="J40" i="24"/>
  <c r="J44" i="24"/>
  <c r="J47" i="24"/>
  <c r="J49" i="24"/>
  <c r="J31" i="24"/>
  <c r="J9" i="24"/>
  <c r="J13" i="24"/>
  <c r="J16" i="24"/>
  <c r="J22" i="24"/>
  <c r="J26" i="24"/>
  <c r="J29" i="24"/>
  <c r="J32" i="24"/>
  <c r="J36" i="24"/>
  <c r="J41" i="24"/>
  <c r="J50" i="24"/>
  <c r="J21" i="24"/>
  <c r="J24" i="24"/>
  <c r="J34" i="24"/>
  <c r="J46" i="24"/>
  <c r="J10" i="24"/>
  <c r="J17" i="24"/>
  <c r="J23" i="24"/>
  <c r="J27" i="24"/>
  <c r="J30" i="24"/>
  <c r="J33" i="24"/>
  <c r="J37" i="24"/>
  <c r="J42" i="24"/>
  <c r="J51" i="24"/>
  <c r="J43" i="24"/>
  <c r="E46" i="26"/>
  <c r="H44" i="26"/>
  <c r="H48" i="26" s="1"/>
  <c r="I52" i="24"/>
  <c r="M39" i="24"/>
  <c r="H21" i="24"/>
  <c r="E45" i="26"/>
  <c r="P66" i="26" l="1"/>
  <c r="P184" i="26" s="1"/>
  <c r="P39" i="24"/>
  <c r="R39" i="24"/>
  <c r="W39" i="24" s="1"/>
  <c r="Z39" i="24" l="1"/>
  <c r="U39" i="24"/>
  <c r="AB39" i="24"/>
  <c r="AD39" i="24"/>
  <c r="I49" i="24" l="1"/>
  <c r="I36" i="24"/>
  <c r="M36" i="24" s="1"/>
  <c r="I32" i="24"/>
  <c r="I27" i="24"/>
  <c r="I26" i="24"/>
  <c r="I25" i="24"/>
  <c r="I20" i="24"/>
  <c r="I16" i="24"/>
  <c r="I14" i="24"/>
  <c r="I9" i="24"/>
  <c r="I8" i="24"/>
  <c r="R36" i="24" l="1"/>
  <c r="W36" i="24" s="1"/>
  <c r="P36" i="24"/>
  <c r="I13" i="24"/>
  <c r="I17" i="24"/>
  <c r="I21" i="24"/>
  <c r="M21" i="24" s="1"/>
  <c r="I24" i="24"/>
  <c r="I47" i="24"/>
  <c r="I35" i="24"/>
  <c r="I40" i="24"/>
  <c r="M40" i="24" s="1"/>
  <c r="I44" i="24"/>
  <c r="I15" i="24"/>
  <c r="I28" i="24"/>
  <c r="I48" i="24"/>
  <c r="I51" i="24"/>
  <c r="I22" i="24"/>
  <c r="I29" i="24"/>
  <c r="I41" i="24"/>
  <c r="I45" i="24"/>
  <c r="I12" i="24"/>
  <c r="I10" i="24"/>
  <c r="I23" i="24"/>
  <c r="I30" i="24"/>
  <c r="I33" i="24"/>
  <c r="I37" i="24"/>
  <c r="I42" i="24"/>
  <c r="I46" i="24"/>
  <c r="I31" i="24"/>
  <c r="M31" i="24" s="1"/>
  <c r="I34" i="24"/>
  <c r="I38" i="24"/>
  <c r="I43" i="24"/>
  <c r="I50" i="24"/>
  <c r="R40" i="24" l="1"/>
  <c r="W40" i="24" s="1"/>
  <c r="P40" i="24"/>
  <c r="Z36" i="24"/>
  <c r="U36" i="24"/>
  <c r="P21" i="24"/>
  <c r="R21" i="24"/>
  <c r="W21" i="24" s="1"/>
  <c r="P31" i="24"/>
  <c r="R31" i="24"/>
  <c r="W31" i="24" s="1"/>
  <c r="AB36" i="24"/>
  <c r="AD36" i="24"/>
  <c r="Z21" i="24" l="1"/>
  <c r="U21" i="24"/>
  <c r="Z31" i="24"/>
  <c r="U31" i="24"/>
  <c r="Z40" i="24"/>
  <c r="U40" i="24"/>
  <c r="AB31" i="24"/>
  <c r="AD31" i="24"/>
  <c r="AB40" i="24"/>
  <c r="AD40" i="24"/>
  <c r="AB21" i="24"/>
  <c r="AD21" i="24"/>
  <c r="H20" i="24"/>
  <c r="M20" i="24" s="1"/>
  <c r="H50" i="24"/>
  <c r="M50" i="24" s="1"/>
  <c r="H49" i="24"/>
  <c r="M49" i="24" s="1"/>
  <c r="H48" i="24"/>
  <c r="M48" i="24" s="1"/>
  <c r="H38" i="24"/>
  <c r="M38" i="24" s="1"/>
  <c r="H47" i="24"/>
  <c r="M47" i="24" s="1"/>
  <c r="H46" i="24"/>
  <c r="M46" i="24" s="1"/>
  <c r="H45" i="24"/>
  <c r="M45" i="24" s="1"/>
  <c r="H43" i="24"/>
  <c r="M43" i="24" s="1"/>
  <c r="H42" i="24"/>
  <c r="M42" i="24" s="1"/>
  <c r="H41" i="24"/>
  <c r="M41" i="24" s="1"/>
  <c r="H37" i="24"/>
  <c r="M37" i="24" s="1"/>
  <c r="H35" i="24"/>
  <c r="M35" i="24" s="1"/>
  <c r="H34" i="24"/>
  <c r="M34" i="24" s="1"/>
  <c r="H33" i="24"/>
  <c r="M33" i="24" s="1"/>
  <c r="H32" i="24"/>
  <c r="M32" i="24" s="1"/>
  <c r="H52" i="24"/>
  <c r="M52" i="24" s="1"/>
  <c r="H30" i="24"/>
  <c r="M30" i="24" s="1"/>
  <c r="H29" i="24"/>
  <c r="M29" i="24" s="1"/>
  <c r="H28" i="24"/>
  <c r="M28" i="24" s="1"/>
  <c r="H27" i="24"/>
  <c r="M27" i="24" s="1"/>
  <c r="H26" i="24"/>
  <c r="M26" i="24" s="1"/>
  <c r="H25" i="24"/>
  <c r="M25" i="24" s="1"/>
  <c r="H24" i="24"/>
  <c r="M24" i="24" s="1"/>
  <c r="H23" i="24"/>
  <c r="M23" i="24" s="1"/>
  <c r="P52" i="24" l="1"/>
  <c r="R52" i="24"/>
  <c r="W52" i="24" s="1"/>
  <c r="R38" i="24"/>
  <c r="W38" i="24" s="1"/>
  <c r="P38" i="24"/>
  <c r="R30" i="24"/>
  <c r="W30" i="24" s="1"/>
  <c r="P30" i="24"/>
  <c r="R28" i="24"/>
  <c r="W28" i="24" s="1"/>
  <c r="P28" i="24"/>
  <c r="P37" i="24"/>
  <c r="R37" i="24"/>
  <c r="W37" i="24" s="1"/>
  <c r="P45" i="24"/>
  <c r="R45" i="24"/>
  <c r="W45" i="24" s="1"/>
  <c r="R48" i="24"/>
  <c r="W48" i="24" s="1"/>
  <c r="P48" i="24"/>
  <c r="R24" i="24"/>
  <c r="W24" i="24" s="1"/>
  <c r="P24" i="24"/>
  <c r="R32" i="24"/>
  <c r="W32" i="24" s="1"/>
  <c r="P32" i="24"/>
  <c r="P25" i="24"/>
  <c r="R25" i="24"/>
  <c r="W25" i="24" s="1"/>
  <c r="P29" i="24"/>
  <c r="R29" i="24"/>
  <c r="W29" i="24" s="1"/>
  <c r="P33" i="24"/>
  <c r="R33" i="24"/>
  <c r="W33" i="24" s="1"/>
  <c r="P41" i="24"/>
  <c r="R41" i="24"/>
  <c r="W41" i="24" s="1"/>
  <c r="R46" i="24"/>
  <c r="W46" i="24" s="1"/>
  <c r="P46" i="24"/>
  <c r="P49" i="24"/>
  <c r="R49" i="24"/>
  <c r="W49" i="24" s="1"/>
  <c r="P26" i="24"/>
  <c r="R26" i="24"/>
  <c r="W26" i="24" s="1"/>
  <c r="P34" i="24"/>
  <c r="R34" i="24"/>
  <c r="W34" i="24" s="1"/>
  <c r="P42" i="24"/>
  <c r="R42" i="24"/>
  <c r="W42" i="24" s="1"/>
  <c r="P47" i="24"/>
  <c r="R47" i="24"/>
  <c r="W47" i="24" s="1"/>
  <c r="P50" i="24"/>
  <c r="R50" i="24"/>
  <c r="W50" i="24" s="1"/>
  <c r="P23" i="24"/>
  <c r="R23" i="24"/>
  <c r="W23" i="24" s="1"/>
  <c r="P27" i="24"/>
  <c r="R27" i="24"/>
  <c r="W27" i="24" s="1"/>
  <c r="P35" i="24"/>
  <c r="R35" i="24"/>
  <c r="W35" i="24" s="1"/>
  <c r="P43" i="24"/>
  <c r="R43" i="24"/>
  <c r="W43" i="24" s="1"/>
  <c r="R20" i="24"/>
  <c r="W20" i="24" s="1"/>
  <c r="P20" i="24"/>
  <c r="H44" i="24"/>
  <c r="M44" i="24" s="1"/>
  <c r="H17" i="24"/>
  <c r="M17" i="24" s="1"/>
  <c r="H16" i="24"/>
  <c r="M16" i="24" s="1"/>
  <c r="H15" i="24"/>
  <c r="M15" i="24" s="1"/>
  <c r="H13" i="24"/>
  <c r="M13" i="24" s="1"/>
  <c r="H12" i="24"/>
  <c r="M12" i="24" s="1"/>
  <c r="H8" i="24"/>
  <c r="M8" i="24" s="1"/>
  <c r="P8" i="24" s="1"/>
  <c r="Z38" i="24" l="1"/>
  <c r="U38" i="24"/>
  <c r="U52" i="24"/>
  <c r="Z52" i="24"/>
  <c r="P17" i="24"/>
  <c r="R17" i="24"/>
  <c r="W17" i="24" s="1"/>
  <c r="U50" i="24"/>
  <c r="Z50" i="24"/>
  <c r="Z25" i="24"/>
  <c r="U25" i="24"/>
  <c r="Z45" i="24"/>
  <c r="U45" i="24"/>
  <c r="P13" i="24"/>
  <c r="R13" i="24"/>
  <c r="W13" i="24" s="1"/>
  <c r="R44" i="24"/>
  <c r="W44" i="24" s="1"/>
  <c r="P44" i="24"/>
  <c r="Z46" i="24"/>
  <c r="U46" i="24"/>
  <c r="Z24" i="24"/>
  <c r="U24" i="24"/>
  <c r="Z28" i="24"/>
  <c r="U28" i="24"/>
  <c r="Z27" i="24"/>
  <c r="U27" i="24"/>
  <c r="Z35" i="24"/>
  <c r="U35" i="24"/>
  <c r="Z34" i="24"/>
  <c r="U34" i="24"/>
  <c r="Z29" i="24"/>
  <c r="U29" i="24"/>
  <c r="Z37" i="24"/>
  <c r="U37" i="24"/>
  <c r="R12" i="24"/>
  <c r="W12" i="24" s="1"/>
  <c r="P12" i="24"/>
  <c r="U43" i="24"/>
  <c r="Z43" i="24"/>
  <c r="U42" i="24"/>
  <c r="Z42" i="24"/>
  <c r="Z26" i="24"/>
  <c r="U26" i="24"/>
  <c r="Z33" i="24"/>
  <c r="U33" i="24"/>
  <c r="P15" i="24"/>
  <c r="R15" i="24"/>
  <c r="W15" i="24" s="1"/>
  <c r="Z23" i="24"/>
  <c r="U23" i="24"/>
  <c r="U47" i="24"/>
  <c r="Z47" i="24"/>
  <c r="Z49" i="24"/>
  <c r="U49" i="24"/>
  <c r="Z41" i="24"/>
  <c r="U41" i="24"/>
  <c r="R16" i="24"/>
  <c r="W16" i="24" s="1"/>
  <c r="P16" i="24"/>
  <c r="Z20" i="24"/>
  <c r="U20" i="24"/>
  <c r="Z32" i="24"/>
  <c r="U32" i="24"/>
  <c r="Z48" i="24"/>
  <c r="U48" i="24"/>
  <c r="Z30" i="24"/>
  <c r="U30" i="24"/>
  <c r="R8" i="24"/>
  <c r="W8" i="24" s="1"/>
  <c r="Z13" i="24" l="1"/>
  <c r="U13" i="24"/>
  <c r="Z17" i="24"/>
  <c r="U17" i="24"/>
  <c r="Z15" i="24"/>
  <c r="U15" i="24"/>
  <c r="Z16" i="24"/>
  <c r="U16" i="24"/>
  <c r="Z44" i="24"/>
  <c r="U44" i="24"/>
  <c r="Z12" i="24"/>
  <c r="U12" i="24"/>
  <c r="AB51" i="24"/>
  <c r="AD51" i="24"/>
  <c r="AB38" i="24"/>
  <c r="AD38" i="24"/>
  <c r="AD37" i="24"/>
  <c r="AB37" i="24"/>
  <c r="AB29" i="24"/>
  <c r="AD29" i="24"/>
  <c r="AD49" i="24"/>
  <c r="AB49" i="24"/>
  <c r="AB34" i="24"/>
  <c r="AD34" i="24"/>
  <c r="AB52" i="24"/>
  <c r="AD52" i="24"/>
  <c r="AB24" i="24"/>
  <c r="AD24" i="24"/>
  <c r="AD45" i="24"/>
  <c r="AB45" i="24"/>
  <c r="AB25" i="24"/>
  <c r="AD25" i="24"/>
  <c r="AB46" i="24"/>
  <c r="AD46" i="24"/>
  <c r="AB42" i="24"/>
  <c r="AD42" i="24"/>
  <c r="AB27" i="24"/>
  <c r="AD27" i="24"/>
  <c r="AB28" i="24"/>
  <c r="AD28" i="24"/>
  <c r="AB48" i="24"/>
  <c r="AD48" i="24"/>
  <c r="AD41" i="24"/>
  <c r="AB41" i="24"/>
  <c r="AD26" i="24"/>
  <c r="AB26" i="24"/>
  <c r="AB47" i="24"/>
  <c r="AD47" i="24"/>
  <c r="AB35" i="24"/>
  <c r="AD35" i="24"/>
  <c r="AB23" i="24"/>
  <c r="AD23" i="24"/>
  <c r="AB43" i="24"/>
  <c r="AD43" i="24"/>
  <c r="AB32" i="24"/>
  <c r="AD32" i="24"/>
  <c r="AB20" i="24"/>
  <c r="AD20" i="24"/>
  <c r="AD33" i="24"/>
  <c r="AB33" i="24"/>
  <c r="AD30" i="24"/>
  <c r="AB30" i="24"/>
  <c r="AB50" i="24"/>
  <c r="AD50" i="24"/>
  <c r="U8" i="24"/>
  <c r="AD16" i="24" l="1"/>
  <c r="AB16" i="24"/>
  <c r="Z8" i="24"/>
  <c r="AD8" i="24"/>
  <c r="AB8" i="24"/>
  <c r="AB10" i="24"/>
  <c r="AD10" i="24"/>
  <c r="AB44" i="24"/>
  <c r="AD44" i="24"/>
  <c r="AB14" i="24"/>
  <c r="AD14" i="24"/>
  <c r="AB15" i="24"/>
  <c r="AD15" i="24"/>
  <c r="AB17" i="24"/>
  <c r="AD17" i="24"/>
  <c r="AD22" i="24"/>
  <c r="AB22" i="24"/>
  <c r="AD12" i="24"/>
  <c r="AB12" i="24"/>
  <c r="AB13" i="24"/>
  <c r="AD13" i="24"/>
  <c r="H9" i="24"/>
  <c r="M9" i="24" s="1"/>
  <c r="P9" i="24" l="1"/>
  <c r="R9" i="24"/>
  <c r="W9" i="24" s="1"/>
  <c r="AB9" i="24"/>
  <c r="AB53" i="24" s="1"/>
  <c r="AD9" i="24"/>
  <c r="AD53" i="24" s="1"/>
  <c r="W48" i="21"/>
  <c r="Z48" i="21"/>
  <c r="Z54" i="21" s="1"/>
  <c r="U9" i="24" l="1"/>
  <c r="Z9" i="24"/>
  <c r="E136" i="21"/>
  <c r="B14" i="15"/>
  <c r="H136" i="21"/>
  <c r="E138" i="21"/>
  <c r="H138" i="21"/>
  <c r="E137" i="21"/>
  <c r="H137" i="21"/>
  <c r="E249" i="21"/>
  <c r="H249" i="21"/>
  <c r="C10" i="24"/>
  <c r="H140" i="21" l="1"/>
  <c r="R173" i="21" s="1"/>
  <c r="E14" i="15"/>
  <c r="C14" i="24" s="1"/>
  <c r="H14" i="24" s="1"/>
  <c r="M14" i="24" s="1"/>
  <c r="G10" i="15"/>
  <c r="H10" i="24"/>
  <c r="M10" i="24" s="1"/>
  <c r="G14" i="15" l="1"/>
  <c r="L14" i="15" s="1"/>
  <c r="O14" i="15" s="1"/>
  <c r="P10" i="24"/>
  <c r="R10" i="24"/>
  <c r="W10" i="24" s="1"/>
  <c r="R14" i="24"/>
  <c r="W14" i="24" s="1"/>
  <c r="P14" i="24"/>
  <c r="L10" i="15"/>
  <c r="O10" i="15" s="1"/>
  <c r="J10" i="15"/>
  <c r="J14" i="15" l="1"/>
  <c r="Z14" i="24"/>
  <c r="U14" i="24"/>
  <c r="Z10" i="24"/>
  <c r="U10" i="24"/>
  <c r="E97" i="21"/>
  <c r="H97" i="21"/>
  <c r="H100" i="21" s="1"/>
  <c r="R124" i="21" s="1"/>
  <c r="E46" i="21"/>
  <c r="H46" i="21"/>
  <c r="E50" i="21" l="1"/>
  <c r="H50" i="21"/>
  <c r="H55" i="21" l="1"/>
  <c r="N48" i="21"/>
  <c r="Q48" i="21"/>
  <c r="Q50" i="21" s="1"/>
  <c r="E250" i="21"/>
  <c r="E251" i="21"/>
  <c r="H251" i="21"/>
  <c r="H250" i="21"/>
  <c r="C22" i="24"/>
  <c r="R72" i="21" l="1"/>
  <c r="H254" i="21"/>
  <c r="Q272" i="21" s="1"/>
  <c r="C51" i="24"/>
  <c r="H51" i="24" s="1"/>
  <c r="M51" i="24" s="1"/>
  <c r="P51" i="24" s="1"/>
  <c r="G22" i="15"/>
  <c r="J22" i="15" s="1"/>
  <c r="H22" i="24"/>
  <c r="M22" i="24" s="1"/>
  <c r="G51" i="15"/>
  <c r="Q274" i="21" l="1"/>
  <c r="R51" i="24"/>
  <c r="W51" i="24" s="1"/>
  <c r="L22" i="15"/>
  <c r="O22" i="15" s="1"/>
  <c r="P22" i="24"/>
  <c r="P53" i="24" s="1"/>
  <c r="R22" i="24"/>
  <c r="W22" i="24" s="1"/>
  <c r="L51" i="15"/>
  <c r="O51" i="15" s="1"/>
  <c r="J51" i="15"/>
  <c r="J52" i="15" s="1"/>
  <c r="P59" i="24" l="1"/>
  <c r="P54" i="24"/>
  <c r="U51" i="24"/>
  <c r="O52" i="15"/>
  <c r="Z51" i="24"/>
  <c r="Z22" i="24"/>
  <c r="U22" i="24"/>
  <c r="X114" i="30"/>
  <c r="AA115" i="30"/>
  <c r="U53" i="24" l="1"/>
  <c r="U59" i="24" s="1"/>
  <c r="Z53" i="24"/>
  <c r="Z59" i="24" s="1"/>
  <c r="AA116" i="30"/>
  <c r="R119" i="30" l="1"/>
  <c r="Q190" i="30" s="1"/>
</calcChain>
</file>

<file path=xl/sharedStrings.xml><?xml version="1.0" encoding="utf-8"?>
<sst xmlns="http://schemas.openxmlformats.org/spreadsheetml/2006/main" count="3115" uniqueCount="227">
  <si>
    <t>Preço 
embalagem</t>
  </si>
  <si>
    <t>Custo 
Preparação</t>
  </si>
  <si>
    <t>Cebola</t>
  </si>
  <si>
    <t>Alho</t>
  </si>
  <si>
    <t>Óleo vegetal</t>
  </si>
  <si>
    <t>Sal</t>
  </si>
  <si>
    <t>Colorau</t>
  </si>
  <si>
    <t>Cenoura</t>
  </si>
  <si>
    <t>Chuchu</t>
  </si>
  <si>
    <t>Pimentão</t>
  </si>
  <si>
    <t>Tomate</t>
  </si>
  <si>
    <t>Jerimum</t>
  </si>
  <si>
    <t>Coentro</t>
  </si>
  <si>
    <t>Composição</t>
  </si>
  <si>
    <t>Per Capita</t>
  </si>
  <si>
    <t>Quantidade Total</t>
  </si>
  <si>
    <t>kg</t>
  </si>
  <si>
    <t>Per capita</t>
  </si>
  <si>
    <t xml:space="preserve">Leite em pó </t>
  </si>
  <si>
    <t xml:space="preserve">Açúcar </t>
  </si>
  <si>
    <t>Quarta-feira</t>
  </si>
  <si>
    <t>Quinta-feira</t>
  </si>
  <si>
    <t>Sexta-feira</t>
  </si>
  <si>
    <t>Segunda-feira</t>
  </si>
  <si>
    <t>Terça-feira</t>
  </si>
  <si>
    <t>Kg</t>
  </si>
  <si>
    <t>Leite em pó</t>
  </si>
  <si>
    <t>Banana</t>
  </si>
  <si>
    <t>Açúcar</t>
  </si>
  <si>
    <t>Polpa de acerola</t>
  </si>
  <si>
    <t>Macarrão espaguete</t>
  </si>
  <si>
    <t>Mamão</t>
  </si>
  <si>
    <t>Amido de milho</t>
  </si>
  <si>
    <t>Polpa de tomate</t>
  </si>
  <si>
    <t>Pct 400g</t>
  </si>
  <si>
    <t>Pct 500g</t>
  </si>
  <si>
    <t>Pct 100g</t>
  </si>
  <si>
    <t>L</t>
  </si>
  <si>
    <t>Lta 400g</t>
  </si>
  <si>
    <t>Maço 30g</t>
  </si>
  <si>
    <t>Pet 900ml</t>
  </si>
  <si>
    <t>Feijão carioca</t>
  </si>
  <si>
    <t>Preço</t>
  </si>
  <si>
    <t>Custo</t>
  </si>
  <si>
    <t>Achocolatado</t>
  </si>
  <si>
    <t>Per Capita (g/ml)</t>
  </si>
  <si>
    <t>Peito de frango</t>
  </si>
  <si>
    <t>Colorífico</t>
  </si>
  <si>
    <t>Bebida láctea</t>
  </si>
  <si>
    <t>Arroz parboilizado</t>
  </si>
  <si>
    <t>Feijão preto</t>
  </si>
  <si>
    <t xml:space="preserve">Jerimum </t>
  </si>
  <si>
    <t>Batata inglesa</t>
  </si>
  <si>
    <t xml:space="preserve">Alho </t>
  </si>
  <si>
    <t>Margarina</t>
  </si>
  <si>
    <t>Flocos de milho</t>
  </si>
  <si>
    <t>Emb 500g</t>
  </si>
  <si>
    <t xml:space="preserve">Sal </t>
  </si>
  <si>
    <t>Ovo</t>
  </si>
  <si>
    <t>Café da manhã</t>
  </si>
  <si>
    <t>Almoço</t>
  </si>
  <si>
    <t>Arroz refogado</t>
  </si>
  <si>
    <t>Jantar</t>
  </si>
  <si>
    <t>Arroz polido</t>
  </si>
  <si>
    <t>Farinha de mandioca</t>
  </si>
  <si>
    <t>Batata doce</t>
  </si>
  <si>
    <t>Músculo bovino</t>
  </si>
  <si>
    <t>Polpa de goiaba</t>
  </si>
  <si>
    <t>Macarrão</t>
  </si>
  <si>
    <t>Laranja in natura</t>
  </si>
  <si>
    <t xml:space="preserve">Picadinho de carne com legumes </t>
  </si>
  <si>
    <t>pct. 100g</t>
  </si>
  <si>
    <t>Canja de frango</t>
  </si>
  <si>
    <t xml:space="preserve">Couve folha </t>
  </si>
  <si>
    <t>Couve</t>
  </si>
  <si>
    <t>Achocolatado em pó</t>
  </si>
  <si>
    <t>Pct. 200g</t>
  </si>
  <si>
    <t>Leite com achocolatado</t>
  </si>
  <si>
    <t>Feijoada</t>
  </si>
  <si>
    <t>Nº Alunos:</t>
  </si>
  <si>
    <t>Número de Alunos =</t>
  </si>
  <si>
    <t>Gênero</t>
  </si>
  <si>
    <t>Per capita
semanal</t>
  </si>
  <si>
    <t>TOTAL para 
compra SEMANAL</t>
  </si>
  <si>
    <t>Embalagem</t>
  </si>
  <si>
    <t>Preço unitário</t>
  </si>
  <si>
    <t>Valor TOTAL</t>
  </si>
  <si>
    <t>TOTAL para 
compra MENSAL</t>
  </si>
  <si>
    <t>g</t>
  </si>
  <si>
    <t>cx 200g</t>
  </si>
  <si>
    <t>ml</t>
  </si>
  <si>
    <t>Bdj 30 und</t>
  </si>
  <si>
    <t>emb  520g</t>
  </si>
  <si>
    <t>Custo 2ª feira=</t>
  </si>
  <si>
    <t>Custo 3ª feira=</t>
  </si>
  <si>
    <t>Custo 4ª feira=</t>
  </si>
  <si>
    <t>Custo 5ª feira=</t>
  </si>
  <si>
    <t>Custo Médio/dia =</t>
  </si>
  <si>
    <t>Laranja</t>
  </si>
  <si>
    <t>Mamão formosa</t>
  </si>
  <si>
    <t>Melão</t>
  </si>
  <si>
    <t>Cuscuz com ovos</t>
  </si>
  <si>
    <t>Farofa de cenoura</t>
  </si>
  <si>
    <t>Custo 6ª feira=</t>
  </si>
  <si>
    <t>Feijão Carioca</t>
  </si>
  <si>
    <t>Lt 400g</t>
  </si>
  <si>
    <t>Carne moída</t>
  </si>
  <si>
    <t>FC</t>
  </si>
  <si>
    <t>PB</t>
  </si>
  <si>
    <t>Molho 30g</t>
  </si>
  <si>
    <t xml:space="preserve">Bebida láctea </t>
  </si>
  <si>
    <t>Pão</t>
  </si>
  <si>
    <t>Isca de carne (músculo) acebolada</t>
  </si>
  <si>
    <t>Músculo</t>
  </si>
  <si>
    <t>Miscelânea de frutas ao leite</t>
  </si>
  <si>
    <t>Sopa de feijão com batata doce</t>
  </si>
  <si>
    <t>Carne de sol (contra filé)</t>
  </si>
  <si>
    <t>Suco de Goiaba</t>
  </si>
  <si>
    <t>Polpa de Goiaba</t>
  </si>
  <si>
    <t>Macaxeira</t>
  </si>
  <si>
    <t>Macaxeira cozida</t>
  </si>
  <si>
    <t>Emb.520g</t>
  </si>
  <si>
    <t>Emb 520g</t>
  </si>
  <si>
    <t>FC = Fator de Correção</t>
  </si>
  <si>
    <t>PB = Peso Bruto</t>
  </si>
  <si>
    <t>Emb 400g</t>
  </si>
  <si>
    <t>Emb 100g</t>
  </si>
  <si>
    <t>Óleo</t>
  </si>
  <si>
    <t xml:space="preserve">Óleo </t>
  </si>
  <si>
    <t>Óleo Vegetal</t>
  </si>
  <si>
    <t>Purê de batata doce</t>
  </si>
  <si>
    <t>emb. 900ml</t>
  </si>
  <si>
    <t>pct 100g</t>
  </si>
  <si>
    <t>Per capita 
CMEI 
Integral</t>
  </si>
  <si>
    <t>Unidade</t>
  </si>
  <si>
    <t>Nº de alunos 
em período 
parcial 
(tarde) =</t>
  </si>
  <si>
    <t>Nº de alunos 
em período 
Integral  (Berçário II e Níveis) =</t>
  </si>
  <si>
    <t xml:space="preserve">Per capita 
CMEI 
Parcial Manhã </t>
  </si>
  <si>
    <t>Per capita 
CMEI 
Parcial Tarde</t>
  </si>
  <si>
    <t>Per capita 
CMEI 
Berçário I</t>
  </si>
  <si>
    <t>Nº de alunos 
em período 
Parcial 
(manhã) =</t>
  </si>
  <si>
    <t>PER CAPITA SEMANAL POR ALUNO 
- CMEI (PNAC e PNAP) -</t>
  </si>
  <si>
    <t>TOTAL para 
compra ANUAL</t>
  </si>
  <si>
    <t>Carne de sol</t>
  </si>
  <si>
    <t>Quantitativo 
CMEI 
Integral</t>
  </si>
  <si>
    <t>Lanche</t>
  </si>
  <si>
    <t xml:space="preserve">Custo 2ª- feira = </t>
  </si>
  <si>
    <t>Melancia</t>
  </si>
  <si>
    <t>BDJ 30</t>
  </si>
  <si>
    <t xml:space="preserve">Custo 3ª- feira = </t>
  </si>
  <si>
    <t xml:space="preserve">Custo 4ª- feira = </t>
  </si>
  <si>
    <t xml:space="preserve">Bebida láctea  </t>
  </si>
  <si>
    <t>pct 400g</t>
  </si>
  <si>
    <t xml:space="preserve">Custo 5ª- feira = </t>
  </si>
  <si>
    <t>Suco de acerola</t>
  </si>
  <si>
    <t>bandeja 30und</t>
  </si>
  <si>
    <t xml:space="preserve">Custo 6ª- feira = </t>
  </si>
  <si>
    <t>Fórmula láctea</t>
  </si>
  <si>
    <t>QUANTITATIVO SEMANAL POR NÚMERO DE ALUNOS 
- CMEI (PNAC e PNAP) -</t>
  </si>
  <si>
    <t>CÁLCULO PARA AQUISIÇÃO DE GÊNEROS ALIMENTÍCIOS PARA OS CARDÁPIOS DOS CMEIS (PNAC e PNAP) - 2016</t>
  </si>
  <si>
    <t>Emb  500g</t>
  </si>
  <si>
    <t>Lata 400g</t>
  </si>
  <si>
    <t>Colorífico em pó</t>
  </si>
  <si>
    <t>Preço
 unitário</t>
  </si>
  <si>
    <t>Preço 
unitário</t>
  </si>
  <si>
    <t>Nº de alunos 
no 
Berçário I=</t>
  </si>
  <si>
    <t xml:space="preserve">g </t>
  </si>
  <si>
    <r>
      <rPr>
        <b/>
        <sz val="20"/>
        <color rgb="FFFF0000"/>
        <rFont val="Calibri"/>
        <family val="2"/>
        <scheme val="minor"/>
      </rPr>
      <t xml:space="preserve">0 </t>
    </r>
    <r>
      <rPr>
        <b/>
        <sz val="14"/>
        <rFont val="Calibri"/>
        <family val="2"/>
        <scheme val="minor"/>
      </rPr>
      <t>= P</t>
    </r>
    <r>
      <rPr>
        <b/>
        <sz val="14"/>
        <color theme="1"/>
        <rFont val="Calibri"/>
        <family val="2"/>
        <scheme val="minor"/>
      </rPr>
      <t>reencher com o número de alunos referente a cada período  (Integral, Parcial Manhã, Parcial Tarde e Berçário</t>
    </r>
    <r>
      <rPr>
        <b/>
        <sz val="11"/>
        <color theme="1"/>
        <rFont val="Calibri"/>
        <family val="2"/>
        <scheme val="minor"/>
      </rPr>
      <t xml:space="preserve"> I) </t>
    </r>
  </si>
  <si>
    <t>Lata 400 g</t>
  </si>
  <si>
    <t>Papinha de frango com Legumes</t>
  </si>
  <si>
    <t>Per Capita
 (g/ml)</t>
  </si>
  <si>
    <t>Banana amassada</t>
  </si>
  <si>
    <t>maço 30g</t>
  </si>
  <si>
    <t>Custo 2ª-feira =</t>
  </si>
  <si>
    <t>Vitamina de banana</t>
  </si>
  <si>
    <t>Papinha de carne com legumes</t>
  </si>
  <si>
    <t>Suco de laranja com mamão</t>
  </si>
  <si>
    <t xml:space="preserve">Laranja </t>
  </si>
  <si>
    <t>Lata 400</t>
  </si>
  <si>
    <t>Custo 3ª-feira =</t>
  </si>
  <si>
    <t>Papinha de frango</t>
  </si>
  <si>
    <t>Arroz com cenoura</t>
  </si>
  <si>
    <t>Purê misto</t>
  </si>
  <si>
    <t>Lanche da Tarde</t>
  </si>
  <si>
    <t>Melancia picadinha</t>
  </si>
  <si>
    <t>Sopa de carne com legumes</t>
  </si>
  <si>
    <t>Músculo Traseiro</t>
  </si>
  <si>
    <t>Custo 4ª-feira =</t>
  </si>
  <si>
    <t>Vitamina de banana e mamão</t>
  </si>
  <si>
    <t>Suco de Acerola</t>
  </si>
  <si>
    <t>Polpa de fruta</t>
  </si>
  <si>
    <t>Sopa de feijão</t>
  </si>
  <si>
    <t>Custo 5ª-feira =</t>
  </si>
  <si>
    <t>Arroz solto</t>
  </si>
  <si>
    <t>Lanche da tarde</t>
  </si>
  <si>
    <t>Papinha de melão</t>
  </si>
  <si>
    <t>Custo 6ª-feira =</t>
  </si>
  <si>
    <t>Custo médio semanal =</t>
  </si>
  <si>
    <t>Biscoito Maria</t>
  </si>
  <si>
    <t>QUANT FONTE 111</t>
  </si>
  <si>
    <t>VALOR TOTAL FONTE 111</t>
  </si>
  <si>
    <t>QUANT FONTE 185</t>
  </si>
  <si>
    <t>Bicoito Cracker</t>
  </si>
  <si>
    <t>emb 400g</t>
  </si>
  <si>
    <t>emb  400g</t>
  </si>
  <si>
    <t>Biscoito Cream Cracker</t>
  </si>
  <si>
    <t>VALOR TOTAL 
FONTE 185</t>
  </si>
  <si>
    <t>Frango em cubos</t>
  </si>
  <si>
    <t xml:space="preserve">Creme de frango </t>
  </si>
  <si>
    <t>Pão hot dog</t>
  </si>
  <si>
    <t xml:space="preserve">Vitamina de banana </t>
  </si>
  <si>
    <t>Cx 200g</t>
  </si>
  <si>
    <t>Salada de frutas</t>
  </si>
  <si>
    <t xml:space="preserve">Biscoito Maria </t>
  </si>
  <si>
    <t>Biscoito Cream cracker</t>
  </si>
  <si>
    <t>200g</t>
  </si>
  <si>
    <t xml:space="preserve">Quantitativo
CMEI 
Parcial Manhã </t>
  </si>
  <si>
    <t>Quantitativo
CMEI 
Parcial Tarde</t>
  </si>
  <si>
    <t>Risoto de carne moída</t>
  </si>
  <si>
    <t>Média Semanal =</t>
  </si>
  <si>
    <t>Macarronada à bolonhesa</t>
  </si>
  <si>
    <t>Arroz de leite</t>
  </si>
  <si>
    <t>Quantitativo 
CMEI 
Berçário I</t>
  </si>
  <si>
    <t>lata 400g</t>
  </si>
  <si>
    <t>Sopa de carne com legumes e pão</t>
  </si>
  <si>
    <t>Alimento com proteína isolada de soja (Supra soy)</t>
  </si>
  <si>
    <t>300g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</si>
</sst>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R$&quot;\ #,##0.00"/>
    <numFmt numFmtId="166" formatCode="_(&quot;R$&quot;* #,##0.00_);_(&quot;R$&quot;* \(#,##0.00\);_(&quot;R$&quot;* &quot;-&quot;??_);_(@_)"/>
    <numFmt numFmtId="167" formatCode="_(&quot;R$&quot;* #,##0.000_);_(&quot;R$&quot;* \(#,##0.000\);_(&quot;R$&quot;* &quot;-&quot;??_);_(@_)"/>
    <numFmt numFmtId="168" formatCode="_-[$R$-416]\ * #,##0.00_-;\-[$R$-416]\ * #,##0.00_-;_-[$R$-416]\ * &quot;-&quot;??_-;_-@_-"/>
    <numFmt numFmtId="169" formatCode="_(&quot;R$&quot;* #,##0.0_);_(&quot;R$&quot;* \(#,##0.0\);_(&quot;R$&quot;* &quot;-&quot;??_);_(@_)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6"/>
      <color rgb="FFFF000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 Narrow"/>
      <family val="2"/>
    </font>
    <font>
      <b/>
      <sz val="16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i/>
      <sz val="10"/>
      <color rgb="FFFFC000"/>
      <name val="Arial"/>
      <family val="2"/>
    </font>
    <font>
      <b/>
      <sz val="10"/>
      <color theme="0"/>
      <name val="Arial"/>
      <family val="2"/>
    </font>
    <font>
      <b/>
      <sz val="10"/>
      <color theme="5"/>
      <name val="Arial"/>
      <family val="2"/>
    </font>
    <font>
      <b/>
      <sz val="11"/>
      <color theme="1"/>
      <name val="Calibri"/>
      <family val="2"/>
      <scheme val="minor"/>
    </font>
    <font>
      <sz val="16"/>
      <color theme="5" tint="-0.249977111117893"/>
      <name val="Algerian"/>
      <family val="5"/>
    </font>
    <font>
      <b/>
      <sz val="14"/>
      <color rgb="FFFF000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20"/>
      <name val="Arial Narrow"/>
      <family val="2"/>
    </font>
    <font>
      <b/>
      <u/>
      <sz val="10"/>
      <name val="Arial Narrow"/>
      <family val="2"/>
    </font>
    <font>
      <sz val="11"/>
      <name val="Calibri"/>
      <family val="2"/>
      <scheme val="minor"/>
    </font>
    <font>
      <b/>
      <sz val="10"/>
      <color rgb="FFFF0000"/>
      <name val="Arial Narrow"/>
      <family val="2"/>
    </font>
    <font>
      <b/>
      <i/>
      <sz val="14"/>
      <color rgb="FFFFC000"/>
      <name val="Calibri"/>
      <family val="2"/>
      <scheme val="minor"/>
    </font>
    <font>
      <b/>
      <i/>
      <sz val="14"/>
      <color rgb="FFFFFF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sz val="10"/>
      <color rgb="FFFF0000"/>
      <name val="Arial Narrow"/>
      <family val="2"/>
    </font>
    <font>
      <b/>
      <sz val="14"/>
      <color theme="5"/>
      <name val="Arial"/>
      <family val="2"/>
    </font>
    <font>
      <b/>
      <sz val="16"/>
      <color theme="5"/>
      <name val="Arial"/>
      <family val="2"/>
    </font>
    <font>
      <b/>
      <sz val="11"/>
      <name val="Calibri"/>
      <family val="2"/>
      <scheme val="minor"/>
    </font>
    <font>
      <b/>
      <i/>
      <sz val="20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u/>
      <sz val="20"/>
      <color rgb="FF800000"/>
      <name val="Algerian"/>
      <family val="5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0"/>
      <color rgb="FFFF0000"/>
      <name val="Arial Narrow"/>
      <family val="2"/>
    </font>
    <font>
      <b/>
      <sz val="12"/>
      <color rgb="FFFF0000"/>
      <name val="Arial"/>
      <family val="2"/>
    </font>
    <font>
      <b/>
      <i/>
      <sz val="14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0">
    <xf numFmtId="0" fontId="0" fillId="0" borderId="0" xfId="0"/>
    <xf numFmtId="0" fontId="0" fillId="0" borderId="1" xfId="0" applyBorder="1" applyAlignment="1">
      <alignment horizontal="center"/>
    </xf>
    <xf numFmtId="0" fontId="5" fillId="0" borderId="0" xfId="0" applyFont="1" applyFill="1" applyBorder="1" applyAlignment="1">
      <alignment horizontal="justify" vertical="top" wrapText="1"/>
    </xf>
    <xf numFmtId="0" fontId="5" fillId="6" borderId="1" xfId="0" applyFont="1" applyFill="1" applyBorder="1" applyAlignment="1">
      <alignment horizontal="justify" vertical="top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1" xfId="0" applyFont="1" applyBorder="1" applyAlignment="1">
      <alignment horizontal="center" vertical="center"/>
    </xf>
    <xf numFmtId="166" fontId="3" fillId="0" borderId="1" xfId="2" applyFont="1" applyFill="1" applyBorder="1" applyAlignment="1">
      <alignment vertical="center"/>
    </xf>
    <xf numFmtId="0" fontId="0" fillId="0" borderId="0" xfId="0" applyFill="1" applyBorder="1"/>
    <xf numFmtId="165" fontId="3" fillId="0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8" fontId="0" fillId="0" borderId="7" xfId="0" applyNumberFormat="1" applyBorder="1"/>
    <xf numFmtId="164" fontId="0" fillId="9" borderId="7" xfId="0" applyNumberFormat="1" applyFill="1" applyBorder="1" applyAlignment="1">
      <alignment horizontal="center" vertical="center"/>
    </xf>
    <xf numFmtId="168" fontId="7" fillId="8" borderId="1" xfId="0" applyNumberFormat="1" applyFont="1" applyFill="1" applyBorder="1"/>
    <xf numFmtId="168" fontId="10" fillId="10" borderId="0" xfId="0" applyNumberFormat="1" applyFont="1" applyFill="1"/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" fontId="0" fillId="0" borderId="0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6" fontId="3" fillId="0" borderId="0" xfId="2" applyFont="1" applyFill="1" applyBorder="1" applyAlignment="1">
      <alignment vertical="center"/>
    </xf>
    <xf numFmtId="165" fontId="3" fillId="4" borderId="0" xfId="2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6" fontId="6" fillId="0" borderId="0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7" fontId="3" fillId="0" borderId="0" xfId="2" applyNumberFormat="1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165" fontId="6" fillId="4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165" fontId="19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6" fontId="19" fillId="0" borderId="0" xfId="2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11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 wrapText="1"/>
    </xf>
    <xf numFmtId="1" fontId="5" fillId="11" borderId="1" xfId="0" applyNumberFormat="1" applyFont="1" applyFill="1" applyBorder="1" applyAlignment="1">
      <alignment horizontal="center" vertical="center" wrapText="1"/>
    </xf>
    <xf numFmtId="166" fontId="0" fillId="0" borderId="1" xfId="2" applyFont="1" applyFill="1" applyBorder="1" applyAlignment="1">
      <alignment vertical="center"/>
    </xf>
    <xf numFmtId="0" fontId="0" fillId="12" borderId="1" xfId="0" applyFill="1" applyBorder="1" applyAlignment="1">
      <alignment horizontal="center" vertical="center"/>
    </xf>
    <xf numFmtId="166" fontId="0" fillId="0" borderId="1" xfId="2" applyFont="1" applyBorder="1" applyAlignment="1">
      <alignment vertical="center"/>
    </xf>
    <xf numFmtId="1" fontId="0" fillId="12" borderId="1" xfId="0" applyNumberFormat="1" applyFill="1" applyBorder="1" applyAlignment="1">
      <alignment horizontal="center" vertical="center"/>
    </xf>
    <xf numFmtId="166" fontId="32" fillId="0" borderId="1" xfId="2" applyFont="1" applyBorder="1" applyAlignment="1">
      <alignment vertical="center"/>
    </xf>
    <xf numFmtId="164" fontId="5" fillId="11" borderId="1" xfId="0" applyNumberFormat="1" applyFont="1" applyFill="1" applyBorder="1" applyAlignment="1">
      <alignment horizontal="center" vertical="center"/>
    </xf>
    <xf numFmtId="164" fontId="5" fillId="11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164" fontId="0" fillId="12" borderId="1" xfId="0" applyNumberForma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0" fillId="0" borderId="0" xfId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65" fontId="33" fillId="0" borderId="7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2" fontId="0" fillId="4" borderId="0" xfId="0" applyNumberFormat="1" applyFill="1" applyBorder="1" applyAlignment="1">
      <alignment horizontal="center" vertical="center"/>
    </xf>
    <xf numFmtId="166" fontId="0" fillId="4" borderId="0" xfId="2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6" fontId="0" fillId="0" borderId="0" xfId="2" applyFont="1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165" fontId="33" fillId="0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0" fillId="0" borderId="1" xfId="1" applyFont="1" applyBorder="1" applyAlignment="1">
      <alignment vertical="center"/>
    </xf>
    <xf numFmtId="0" fontId="36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0" fillId="11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164" fontId="0" fillId="11" borderId="1" xfId="0" applyNumberFormat="1" applyFill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vertical="center"/>
    </xf>
    <xf numFmtId="166" fontId="0" fillId="0" borderId="0" xfId="2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6" fontId="6" fillId="0" borderId="1" xfId="2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justify" vertical="center" wrapText="1"/>
    </xf>
    <xf numFmtId="165" fontId="3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68" fontId="0" fillId="0" borderId="1" xfId="2" applyNumberFormat="1" applyFont="1" applyBorder="1" applyAlignment="1">
      <alignment vertical="center"/>
    </xf>
    <xf numFmtId="164" fontId="38" fillId="0" borderId="0" xfId="0" applyNumberFormat="1" applyFont="1" applyFill="1" applyBorder="1" applyAlignment="1">
      <alignment horizontal="center" vertical="center"/>
    </xf>
    <xf numFmtId="44" fontId="0" fillId="4" borderId="0" xfId="1" applyFont="1" applyFill="1" applyBorder="1" applyAlignment="1">
      <alignment vertical="center"/>
    </xf>
    <xf numFmtId="168" fontId="29" fillId="0" borderId="1" xfId="2" applyNumberFormat="1" applyFont="1" applyBorder="1" applyAlignment="1">
      <alignment vertical="center"/>
    </xf>
    <xf numFmtId="166" fontId="34" fillId="1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5" fontId="0" fillId="0" borderId="1" xfId="2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165" fontId="0" fillId="4" borderId="0" xfId="0" applyNumberFormat="1" applyFill="1" applyBorder="1" applyAlignment="1">
      <alignment vertical="center"/>
    </xf>
    <xf numFmtId="165" fontId="0" fillId="0" borderId="0" xfId="2" applyNumberFormat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66" fontId="34" fillId="10" borderId="15" xfId="0" applyNumberFormat="1" applyFont="1" applyFill="1" applyBorder="1" applyAlignment="1">
      <alignment vertical="center"/>
    </xf>
    <xf numFmtId="166" fontId="39" fillId="4" borderId="0" xfId="0" applyNumberFormat="1" applyFont="1" applyFill="1" applyBorder="1" applyAlignment="1">
      <alignment vertical="center"/>
    </xf>
    <xf numFmtId="166" fontId="34" fillId="0" borderId="0" xfId="0" applyNumberFormat="1" applyFont="1" applyFill="1" applyBorder="1" applyAlignment="1">
      <alignment vertical="center"/>
    </xf>
    <xf numFmtId="166" fontId="40" fillId="4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65" fontId="0" fillId="4" borderId="0" xfId="1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64" fontId="0" fillId="14" borderId="1" xfId="0" applyNumberFormat="1" applyFill="1" applyBorder="1" applyAlignment="1">
      <alignment horizontal="center"/>
    </xf>
    <xf numFmtId="0" fontId="25" fillId="14" borderId="1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64" fontId="3" fillId="15" borderId="1" xfId="0" applyNumberFormat="1" applyFont="1" applyFill="1" applyBorder="1" applyAlignment="1">
      <alignment horizontal="center" vertical="center"/>
    </xf>
    <xf numFmtId="0" fontId="25" fillId="15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19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/>
    <xf numFmtId="0" fontId="3" fillId="6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top" wrapText="1"/>
    </xf>
    <xf numFmtId="164" fontId="19" fillId="0" borderId="1" xfId="0" applyNumberFormat="1" applyFont="1" applyBorder="1" applyAlignment="1">
      <alignment horizontal="center"/>
    </xf>
    <xf numFmtId="44" fontId="19" fillId="0" borderId="1" xfId="1" applyFont="1" applyBorder="1"/>
    <xf numFmtId="166" fontId="3" fillId="0" borderId="1" xfId="2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9" fillId="0" borderId="0" xfId="0" applyFont="1" applyBorder="1"/>
    <xf numFmtId="166" fontId="6" fillId="0" borderId="1" xfId="0" applyNumberFormat="1" applyFont="1" applyBorder="1"/>
    <xf numFmtId="166" fontId="6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166" fontId="19" fillId="0" borderId="1" xfId="2" applyFont="1" applyBorder="1"/>
    <xf numFmtId="0" fontId="3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66" fontId="22" fillId="0" borderId="0" xfId="0" applyNumberFormat="1" applyFont="1" applyFill="1" applyBorder="1"/>
    <xf numFmtId="0" fontId="3" fillId="0" borderId="0" xfId="0" applyFont="1" applyBorder="1"/>
    <xf numFmtId="165" fontId="20" fillId="9" borderId="1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6" fontId="6" fillId="0" borderId="0" xfId="0" applyNumberFormat="1" applyFont="1" applyFill="1" applyBorder="1"/>
    <xf numFmtId="0" fontId="3" fillId="4" borderId="0" xfId="0" applyFont="1" applyFill="1" applyBorder="1" applyAlignment="1">
      <alignment horizontal="justify" vertical="top" wrapText="1"/>
    </xf>
    <xf numFmtId="0" fontId="3" fillId="6" borderId="1" xfId="0" applyFont="1" applyFill="1" applyBorder="1"/>
    <xf numFmtId="0" fontId="3" fillId="11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6" fontId="3" fillId="0" borderId="0" xfId="2" applyFont="1" applyFill="1" applyBorder="1"/>
    <xf numFmtId="0" fontId="3" fillId="0" borderId="0" xfId="0" applyFont="1" applyFill="1"/>
    <xf numFmtId="0" fontId="3" fillId="0" borderId="0" xfId="0" applyFont="1"/>
    <xf numFmtId="0" fontId="3" fillId="0" borderId="0" xfId="0" applyFont="1" applyFill="1" applyBorder="1"/>
    <xf numFmtId="166" fontId="20" fillId="9" borderId="1" xfId="2" applyFont="1" applyFill="1" applyBorder="1" applyAlignment="1">
      <alignment vertical="center"/>
    </xf>
    <xf numFmtId="44" fontId="19" fillId="0" borderId="0" xfId="0" applyNumberFormat="1" applyFont="1"/>
    <xf numFmtId="166" fontId="19" fillId="0" borderId="1" xfId="2" applyFont="1" applyFill="1" applyBorder="1"/>
    <xf numFmtId="0" fontId="19" fillId="0" borderId="0" xfId="0" applyFont="1" applyBorder="1" applyAlignment="1">
      <alignment horizontal="center"/>
    </xf>
    <xf numFmtId="166" fontId="19" fillId="0" borderId="0" xfId="2" applyFont="1" applyFill="1" applyBorder="1"/>
    <xf numFmtId="166" fontId="6" fillId="0" borderId="7" xfId="0" applyNumberFormat="1" applyFont="1" applyBorder="1"/>
    <xf numFmtId="44" fontId="2" fillId="4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2" fontId="19" fillId="0" borderId="0" xfId="0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/>
    </xf>
    <xf numFmtId="0" fontId="19" fillId="4" borderId="0" xfId="0" applyFont="1" applyFill="1" applyBorder="1"/>
    <xf numFmtId="166" fontId="24" fillId="4" borderId="0" xfId="0" applyNumberFormat="1" applyFont="1" applyFill="1" applyBorder="1"/>
    <xf numFmtId="44" fontId="20" fillId="9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44" fontId="19" fillId="0" borderId="1" xfId="1" applyFont="1" applyBorder="1" applyAlignment="1">
      <alignment horizontal="center" vertical="center"/>
    </xf>
    <xf numFmtId="165" fontId="2" fillId="9" borderId="1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/>
    <xf numFmtId="165" fontId="43" fillId="9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166" fontId="24" fillId="0" borderId="0" xfId="0" applyNumberFormat="1" applyFont="1" applyFill="1" applyBorder="1"/>
    <xf numFmtId="0" fontId="0" fillId="0" borderId="0" xfId="0" applyFill="1"/>
    <xf numFmtId="164" fontId="3" fillId="14" borderId="1" xfId="0" applyNumberFormat="1" applyFont="1" applyFill="1" applyBorder="1" applyAlignment="1">
      <alignment horizontal="center" vertical="center"/>
    </xf>
    <xf numFmtId="0" fontId="25" fillId="13" borderId="1" xfId="0" applyFont="1" applyFill="1" applyBorder="1" applyAlignment="1">
      <alignment horizontal="center" vertical="center" wrapText="1"/>
    </xf>
    <xf numFmtId="164" fontId="3" fillId="13" borderId="1" xfId="0" applyNumberFormat="1" applyFont="1" applyFill="1" applyBorder="1" applyAlignment="1">
      <alignment horizontal="center" vertical="center"/>
    </xf>
    <xf numFmtId="164" fontId="3" fillId="16" borderId="1" xfId="0" applyNumberFormat="1" applyFont="1" applyFill="1" applyBorder="1" applyAlignment="1">
      <alignment horizontal="center" vertical="center"/>
    </xf>
    <xf numFmtId="0" fontId="48" fillId="14" borderId="1" xfId="0" applyFont="1" applyFill="1" applyBorder="1" applyAlignment="1">
      <alignment horizontal="center" vertical="center"/>
    </xf>
    <xf numFmtId="0" fontId="48" fillId="11" borderId="1" xfId="0" applyFont="1" applyFill="1" applyBorder="1" applyAlignment="1">
      <alignment horizontal="center" vertical="center"/>
    </xf>
    <xf numFmtId="0" fontId="48" fillId="13" borderId="1" xfId="0" applyFont="1" applyFill="1" applyBorder="1" applyAlignment="1">
      <alignment horizontal="center" vertical="center"/>
    </xf>
    <xf numFmtId="0" fontId="48" fillId="16" borderId="1" xfId="0" applyFont="1" applyFill="1" applyBorder="1" applyAlignment="1">
      <alignment horizontal="center" vertical="center"/>
    </xf>
    <xf numFmtId="0" fontId="0" fillId="0" borderId="0" xfId="0" applyFont="1"/>
    <xf numFmtId="0" fontId="46" fillId="0" borderId="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164" fontId="0" fillId="18" borderId="7" xfId="0" applyNumberFormat="1" applyFill="1" applyBorder="1" applyAlignment="1">
      <alignment horizontal="center" vertical="center"/>
    </xf>
    <xf numFmtId="0" fontId="46" fillId="18" borderId="22" xfId="0" applyFont="1" applyFill="1" applyBorder="1" applyAlignment="1">
      <alignment horizontal="center" vertical="center" wrapText="1"/>
    </xf>
    <xf numFmtId="0" fontId="49" fillId="0" borderId="0" xfId="0" applyFont="1"/>
    <xf numFmtId="168" fontId="50" fillId="10" borderId="0" xfId="0" applyNumberFormat="1" applyFont="1" applyFill="1"/>
    <xf numFmtId="0" fontId="49" fillId="0" borderId="0" xfId="0" applyFont="1" applyFill="1" applyBorder="1"/>
    <xf numFmtId="168" fontId="3" fillId="0" borderId="1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6" fontId="40" fillId="4" borderId="0" xfId="0" applyNumberFormat="1" applyFont="1" applyFill="1" applyBorder="1"/>
    <xf numFmtId="0" fontId="25" fillId="0" borderId="0" xfId="0" applyFont="1"/>
    <xf numFmtId="0" fontId="29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top" wrapText="1"/>
    </xf>
    <xf numFmtId="0" fontId="0" fillId="0" borderId="0" xfId="0" applyBorder="1"/>
    <xf numFmtId="0" fontId="4" fillId="0" borderId="1" xfId="0" applyFont="1" applyBorder="1" applyAlignment="1">
      <alignment horizontal="center" vertical="top" wrapText="1"/>
    </xf>
    <xf numFmtId="44" fontId="32" fillId="0" borderId="1" xfId="1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166" fontId="0" fillId="0" borderId="1" xfId="2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6" fontId="0" fillId="0" borderId="1" xfId="2" applyFont="1" applyBorder="1"/>
    <xf numFmtId="0" fontId="4" fillId="0" borderId="0" xfId="0" applyFont="1" applyFill="1" applyAlignment="1">
      <alignment horizontal="center"/>
    </xf>
    <xf numFmtId="0" fontId="5" fillId="6" borderId="7" xfId="0" applyFont="1" applyFill="1" applyBorder="1" applyAlignment="1">
      <alignment horizontal="justify" vertical="top" wrapText="1"/>
    </xf>
    <xf numFmtId="0" fontId="32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6" fontId="0" fillId="0" borderId="7" xfId="2" applyFont="1" applyBorder="1"/>
    <xf numFmtId="0" fontId="5" fillId="4" borderId="0" xfId="0" applyFont="1" applyFill="1" applyBorder="1" applyAlignment="1">
      <alignment horizontal="center"/>
    </xf>
    <xf numFmtId="0" fontId="0" fillId="4" borderId="0" xfId="0" applyFill="1"/>
    <xf numFmtId="166" fontId="33" fillId="4" borderId="1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166" fontId="32" fillId="0" borderId="1" xfId="2" applyFont="1" applyBorder="1"/>
    <xf numFmtId="0" fontId="38" fillId="0" borderId="0" xfId="0" applyFont="1" applyFill="1" applyBorder="1" applyAlignment="1">
      <alignment horizontal="justify" vertical="top" wrapText="1"/>
    </xf>
    <xf numFmtId="0" fontId="3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166" fontId="7" fillId="0" borderId="0" xfId="2" applyFont="1" applyFill="1" applyBorder="1"/>
    <xf numFmtId="44" fontId="6" fillId="0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4" fontId="0" fillId="0" borderId="0" xfId="1" applyFont="1" applyFill="1" applyBorder="1"/>
    <xf numFmtId="44" fontId="29" fillId="9" borderId="1" xfId="1" applyFont="1" applyFill="1" applyBorder="1"/>
    <xf numFmtId="0" fontId="38" fillId="0" borderId="0" xfId="0" applyFont="1" applyFill="1" applyBorder="1" applyAlignment="1">
      <alignment horizontal="center"/>
    </xf>
    <xf numFmtId="166" fontId="0" fillId="0" borderId="0" xfId="2" applyFont="1" applyFill="1" applyBorder="1"/>
    <xf numFmtId="165" fontId="5" fillId="0" borderId="0" xfId="0" applyNumberFormat="1" applyFont="1" applyFill="1" applyBorder="1" applyAlignment="1">
      <alignment horizontal="center" vertical="center" wrapText="1"/>
    </xf>
    <xf numFmtId="166" fontId="32" fillId="0" borderId="1" xfId="2" applyFont="1" applyFill="1" applyBorder="1"/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6" fontId="0" fillId="0" borderId="1" xfId="2" applyFont="1" applyBorder="1" applyAlignment="1">
      <alignment horizontal="center"/>
    </xf>
    <xf numFmtId="0" fontId="0" fillId="4" borderId="0" xfId="0" applyFill="1" applyBorder="1"/>
    <xf numFmtId="0" fontId="0" fillId="0" borderId="0" xfId="0" applyFill="1" applyBorder="1" applyAlignment="1"/>
    <xf numFmtId="0" fontId="52" fillId="0" borderId="0" xfId="0" applyFont="1" applyFill="1" applyBorder="1"/>
    <xf numFmtId="0" fontId="4" fillId="4" borderId="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/>
    </xf>
    <xf numFmtId="166" fontId="3" fillId="4" borderId="0" xfId="2" applyFont="1" applyFill="1" applyBorder="1"/>
    <xf numFmtId="166" fontId="7" fillId="4" borderId="0" xfId="2" applyFont="1" applyFill="1" applyBorder="1"/>
    <xf numFmtId="0" fontId="5" fillId="4" borderId="0" xfId="0" applyFont="1" applyFill="1" applyBorder="1" applyAlignment="1">
      <alignment horizontal="justify" vertical="top" wrapText="1"/>
    </xf>
    <xf numFmtId="165" fontId="6" fillId="4" borderId="0" xfId="0" applyNumberFormat="1" applyFont="1" applyFill="1" applyBorder="1"/>
    <xf numFmtId="164" fontId="38" fillId="4" borderId="0" xfId="0" applyNumberFormat="1" applyFont="1" applyFill="1" applyBorder="1" applyAlignment="1">
      <alignment horizontal="center"/>
    </xf>
    <xf numFmtId="44" fontId="0" fillId="4" borderId="0" xfId="1" applyFont="1" applyFill="1" applyBorder="1"/>
    <xf numFmtId="44" fontId="3" fillId="4" borderId="0" xfId="1" applyFont="1" applyFill="1" applyBorder="1"/>
    <xf numFmtId="0" fontId="31" fillId="0" borderId="0" xfId="0" applyFont="1" applyFill="1" applyBorder="1" applyAlignment="1">
      <alignment horizontal="center" vertical="top" wrapText="1"/>
    </xf>
    <xf numFmtId="44" fontId="5" fillId="0" borderId="0" xfId="0" applyNumberFormat="1" applyFont="1" applyFill="1" applyBorder="1" applyAlignment="1">
      <alignment horizontal="left"/>
    </xf>
    <xf numFmtId="44" fontId="2" fillId="0" borderId="0" xfId="0" applyNumberFormat="1" applyFont="1" applyFill="1" applyBorder="1"/>
    <xf numFmtId="166" fontId="5" fillId="0" borderId="0" xfId="2" applyFont="1" applyFill="1" applyBorder="1" applyAlignment="1">
      <alignment horizontal="center" vertical="center"/>
    </xf>
    <xf numFmtId="165" fontId="32" fillId="0" borderId="1" xfId="2" applyNumberFormat="1" applyFont="1" applyFill="1" applyBorder="1" applyAlignment="1">
      <alignment horizontal="center" vertical="center"/>
    </xf>
    <xf numFmtId="0" fontId="5" fillId="4" borderId="0" xfId="0" applyFont="1" applyFill="1" applyBorder="1"/>
    <xf numFmtId="0" fontId="0" fillId="0" borderId="0" xfId="0" applyBorder="1" applyAlignment="1">
      <alignment horizontal="center"/>
    </xf>
    <xf numFmtId="166" fontId="0" fillId="0" borderId="0" xfId="2" applyFont="1" applyBorder="1"/>
    <xf numFmtId="165" fontId="29" fillId="9" borderId="1" xfId="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38" fillId="0" borderId="0" xfId="0" applyNumberFormat="1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44" fontId="3" fillId="0" borderId="0" xfId="1" applyFont="1" applyFill="1" applyBorder="1"/>
    <xf numFmtId="0" fontId="5" fillId="6" borderId="7" xfId="0" applyFont="1" applyFill="1" applyBorder="1"/>
    <xf numFmtId="0" fontId="5" fillId="0" borderId="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5" fontId="29" fillId="0" borderId="0" xfId="1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6" fontId="29" fillId="0" borderId="1" xfId="2" applyFont="1" applyBorder="1"/>
    <xf numFmtId="165" fontId="3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/>
    </xf>
    <xf numFmtId="44" fontId="3" fillId="0" borderId="0" xfId="1" applyFont="1" applyBorder="1"/>
    <xf numFmtId="166" fontId="0" fillId="4" borderId="0" xfId="2" applyFont="1" applyFill="1" applyBorder="1"/>
    <xf numFmtId="166" fontId="6" fillId="4" borderId="0" xfId="0" applyNumberFormat="1" applyFont="1" applyFill="1" applyBorder="1"/>
    <xf numFmtId="166" fontId="39" fillId="4" borderId="0" xfId="0" applyNumberFormat="1" applyFont="1" applyFill="1" applyBorder="1"/>
    <xf numFmtId="0" fontId="30" fillId="0" borderId="0" xfId="0" applyFont="1" applyFill="1" applyAlignment="1">
      <alignment horizontal="center"/>
    </xf>
    <xf numFmtId="165" fontId="6" fillId="0" borderId="0" xfId="0" applyNumberFormat="1" applyFont="1" applyBorder="1"/>
    <xf numFmtId="2" fontId="0" fillId="0" borderId="1" xfId="0" applyNumberFormat="1" applyBorder="1" applyAlignment="1">
      <alignment horizontal="center"/>
    </xf>
    <xf numFmtId="166" fontId="5" fillId="0" borderId="1" xfId="2" applyFont="1" applyBorder="1" applyAlignment="1">
      <alignment horizontal="center" vertical="center"/>
    </xf>
    <xf numFmtId="166" fontId="3" fillId="0" borderId="1" xfId="2" applyFont="1" applyBorder="1" applyAlignment="1">
      <alignment vertical="center"/>
    </xf>
    <xf numFmtId="166" fontId="3" fillId="0" borderId="1" xfId="2" applyFont="1" applyBorder="1" applyAlignment="1">
      <alignment horizontal="center" vertical="center"/>
    </xf>
    <xf numFmtId="165" fontId="27" fillId="9" borderId="1" xfId="1" applyNumberFormat="1" applyFont="1" applyFill="1" applyBorder="1" applyAlignment="1">
      <alignment horizontal="center" vertical="center"/>
    </xf>
    <xf numFmtId="168" fontId="3" fillId="8" borderId="1" xfId="0" applyNumberFormat="1" applyFont="1" applyFill="1" applyBorder="1"/>
    <xf numFmtId="0" fontId="53" fillId="0" borderId="0" xfId="0" applyFont="1" applyAlignment="1">
      <alignment vertical="center"/>
    </xf>
    <xf numFmtId="0" fontId="38" fillId="0" borderId="0" xfId="0" applyFont="1" applyFill="1" applyBorder="1" applyAlignment="1">
      <alignment horizontal="justify" vertical="center" wrapText="1"/>
    </xf>
    <xf numFmtId="0" fontId="38" fillId="0" borderId="0" xfId="0" applyFont="1" applyFill="1" applyBorder="1" applyAlignment="1">
      <alignment horizontal="center" vertical="center"/>
    </xf>
    <xf numFmtId="166" fontId="6" fillId="0" borderId="7" xfId="0" applyNumberFormat="1" applyFont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166" fontId="6" fillId="0" borderId="7" xfId="2" applyFont="1" applyFill="1" applyBorder="1" applyAlignment="1">
      <alignment vertical="center"/>
    </xf>
    <xf numFmtId="166" fontId="6" fillId="0" borderId="0" xfId="2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2" fontId="53" fillId="0" borderId="0" xfId="0" applyNumberFormat="1" applyFont="1" applyFill="1" applyBorder="1" applyAlignment="1">
      <alignment horizontal="center" vertical="center"/>
    </xf>
    <xf numFmtId="166" fontId="53" fillId="0" borderId="0" xfId="2" applyFont="1" applyFill="1" applyBorder="1" applyAlignment="1">
      <alignment vertical="center"/>
    </xf>
    <xf numFmtId="166" fontId="33" fillId="0" borderId="0" xfId="0" applyNumberFormat="1" applyFont="1" applyFill="1" applyBorder="1" applyAlignment="1">
      <alignment horizontal="justify" vertical="center" wrapText="1"/>
    </xf>
    <xf numFmtId="166" fontId="34" fillId="4" borderId="0" xfId="0" applyNumberFormat="1" applyFont="1" applyFill="1" applyBorder="1" applyAlignment="1">
      <alignment horizontal="center" vertical="center"/>
    </xf>
    <xf numFmtId="166" fontId="34" fillId="4" borderId="0" xfId="0" applyNumberFormat="1" applyFont="1" applyFill="1" applyBorder="1" applyAlignment="1">
      <alignment vertical="center"/>
    </xf>
    <xf numFmtId="44" fontId="0" fillId="0" borderId="0" xfId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0" fontId="5" fillId="6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4" fontId="0" fillId="0" borderId="0" xfId="0" applyNumberFormat="1" applyFill="1" applyBorder="1" applyAlignment="1">
      <alignment vertical="center"/>
    </xf>
    <xf numFmtId="0" fontId="5" fillId="12" borderId="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2" fontId="5" fillId="11" borderId="1" xfId="0" applyNumberFormat="1" applyFont="1" applyFill="1" applyBorder="1" applyAlignment="1">
      <alignment horizontal="center" vertical="center"/>
    </xf>
    <xf numFmtId="164" fontId="32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66" fontId="0" fillId="0" borderId="1" xfId="2" applyFont="1" applyBorder="1" applyAlignment="1">
      <alignment horizontal="center" vertical="center"/>
    </xf>
    <xf numFmtId="166" fontId="32" fillId="0" borderId="1" xfId="2" applyFont="1" applyFill="1" applyBorder="1" applyAlignment="1">
      <alignment vertical="center"/>
    </xf>
    <xf numFmtId="168" fontId="0" fillId="0" borderId="6" xfId="0" applyNumberFormat="1" applyBorder="1"/>
    <xf numFmtId="0" fontId="46" fillId="0" borderId="1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 wrapText="1"/>
    </xf>
    <xf numFmtId="168" fontId="49" fillId="0" borderId="0" xfId="0" applyNumberFormat="1" applyFont="1" applyFill="1" applyBorder="1"/>
    <xf numFmtId="44" fontId="49" fillId="0" borderId="0" xfId="0" applyNumberFormat="1" applyFont="1" applyFill="1" applyBorder="1"/>
    <xf numFmtId="0" fontId="5" fillId="6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46" fillId="19" borderId="4" xfId="0" applyFont="1" applyFill="1" applyBorder="1" applyAlignment="1">
      <alignment horizontal="center" vertical="center" wrapText="1"/>
    </xf>
    <xf numFmtId="164" fontId="0" fillId="19" borderId="7" xfId="0" applyNumberFormat="1" applyFill="1" applyBorder="1" applyAlignment="1">
      <alignment horizontal="center" vertical="center"/>
    </xf>
    <xf numFmtId="0" fontId="46" fillId="20" borderId="4" xfId="0" applyFont="1" applyFill="1" applyBorder="1" applyAlignment="1">
      <alignment horizontal="center" vertical="center" wrapText="1"/>
    </xf>
    <xf numFmtId="164" fontId="0" fillId="20" borderId="7" xfId="0" applyNumberForma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66" fontId="6" fillId="0" borderId="3" xfId="2" applyFont="1" applyFill="1" applyBorder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169" fontId="0" fillId="0" borderId="1" xfId="2" applyNumberFormat="1" applyFont="1" applyBorder="1" applyAlignment="1">
      <alignment vertical="center"/>
    </xf>
    <xf numFmtId="166" fontId="0" fillId="0" borderId="1" xfId="2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0" xfId="0" applyFont="1"/>
    <xf numFmtId="164" fontId="32" fillId="0" borderId="7" xfId="0" applyNumberFormat="1" applyFont="1" applyBorder="1" applyAlignment="1">
      <alignment horizontal="center" vertical="center"/>
    </xf>
    <xf numFmtId="168" fontId="32" fillId="0" borderId="7" xfId="0" applyNumberFormat="1" applyFont="1" applyBorder="1"/>
    <xf numFmtId="164" fontId="32" fillId="9" borderId="7" xfId="0" applyNumberFormat="1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 vertical="center"/>
    </xf>
    <xf numFmtId="1" fontId="32" fillId="0" borderId="0" xfId="3" applyNumberFormat="1" applyFont="1" applyFill="1" applyBorder="1" applyAlignment="1">
      <alignment horizontal="center" vertical="center"/>
    </xf>
    <xf numFmtId="0" fontId="3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vertical="center"/>
    </xf>
    <xf numFmtId="0" fontId="25" fillId="15" borderId="3" xfId="0" applyFont="1" applyFill="1" applyBorder="1" applyAlignment="1">
      <alignment horizontal="center" vertical="center" wrapText="1"/>
    </xf>
    <xf numFmtId="164" fontId="25" fillId="15" borderId="7" xfId="0" applyNumberFormat="1" applyFont="1" applyFill="1" applyBorder="1" applyAlignment="1">
      <alignment horizontal="center" vertical="center" wrapText="1"/>
    </xf>
    <xf numFmtId="0" fontId="25" fillId="15" borderId="4" xfId="0" applyFont="1" applyFill="1" applyBorder="1" applyAlignment="1">
      <alignment horizontal="center" vertical="center" wrapText="1"/>
    </xf>
    <xf numFmtId="0" fontId="4" fillId="14" borderId="2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8" fontId="29" fillId="0" borderId="0" xfId="2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166" fontId="0" fillId="0" borderId="1" xfId="2" applyNumberFormat="1" applyFont="1" applyBorder="1" applyAlignment="1">
      <alignment vertical="center"/>
    </xf>
    <xf numFmtId="166" fontId="2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166" fontId="56" fillId="4" borderId="0" xfId="2" applyFont="1" applyFill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44" fontId="29" fillId="0" borderId="1" xfId="1" applyFont="1" applyFill="1" applyBorder="1" applyAlignment="1">
      <alignment horizontal="center" vertical="center"/>
    </xf>
    <xf numFmtId="0" fontId="53" fillId="0" borderId="0" xfId="0" applyFont="1"/>
    <xf numFmtId="0" fontId="38" fillId="0" borderId="0" xfId="0" applyFont="1" applyFill="1" applyBorder="1" applyAlignment="1">
      <alignment horizontal="left" vertical="center"/>
    </xf>
    <xf numFmtId="164" fontId="53" fillId="0" borderId="0" xfId="0" applyNumberFormat="1" applyFont="1" applyFill="1" applyBorder="1" applyAlignment="1">
      <alignment horizontal="center" vertical="center"/>
    </xf>
    <xf numFmtId="1" fontId="53" fillId="0" borderId="0" xfId="3" applyNumberFormat="1" applyFont="1" applyFill="1" applyBorder="1" applyAlignment="1">
      <alignment horizontal="center" vertical="center"/>
    </xf>
    <xf numFmtId="0" fontId="53" fillId="0" borderId="0" xfId="0" applyFont="1" applyFill="1" applyBorder="1"/>
    <xf numFmtId="0" fontId="44" fillId="0" borderId="0" xfId="0" applyFont="1" applyAlignment="1">
      <alignment vertical="center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164" fontId="3" fillId="14" borderId="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14" fillId="10" borderId="0" xfId="0" applyFont="1" applyFill="1" applyAlignment="1">
      <alignment horizontal="center" vertical="center"/>
    </xf>
    <xf numFmtId="0" fontId="57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3" fillId="13" borderId="7" xfId="0" applyNumberFormat="1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top" wrapText="1"/>
    </xf>
    <xf numFmtId="0" fontId="5" fillId="12" borderId="1" xfId="0" applyFont="1" applyFill="1" applyBorder="1" applyAlignment="1">
      <alignment horizontal="center" vertical="top" wrapText="1"/>
    </xf>
    <xf numFmtId="164" fontId="5" fillId="12" borderId="1" xfId="0" applyNumberFormat="1" applyFont="1" applyFill="1" applyBorder="1" applyAlignment="1">
      <alignment horizontal="center" vertical="top" wrapText="1"/>
    </xf>
    <xf numFmtId="0" fontId="5" fillId="12" borderId="1" xfId="0" applyFont="1" applyFill="1" applyBorder="1" applyAlignment="1">
      <alignment horizontal="center"/>
    </xf>
    <xf numFmtId="164" fontId="5" fillId="12" borderId="1" xfId="0" applyNumberFormat="1" applyFont="1" applyFill="1" applyBorder="1" applyAlignment="1">
      <alignment horizontal="center"/>
    </xf>
    <xf numFmtId="2" fontId="5" fillId="12" borderId="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32" fillId="0" borderId="0" xfId="2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164" fontId="5" fillId="11" borderId="1" xfId="0" applyNumberFormat="1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center" wrapText="1"/>
    </xf>
    <xf numFmtId="44" fontId="29" fillId="0" borderId="0" xfId="1" applyFont="1" applyFill="1" applyBorder="1"/>
    <xf numFmtId="0" fontId="4" fillId="4" borderId="0" xfId="0" applyFont="1" applyFill="1" applyBorder="1" applyAlignment="1"/>
    <xf numFmtId="165" fontId="6" fillId="0" borderId="0" xfId="2" applyNumberFormat="1" applyFont="1" applyFill="1" applyBorder="1" applyAlignment="1">
      <alignment horizontal="center" vertical="center"/>
    </xf>
    <xf numFmtId="164" fontId="3" fillId="16" borderId="7" xfId="0" applyNumberFormat="1" applyFont="1" applyFill="1" applyBorder="1" applyAlignment="1">
      <alignment horizontal="center" vertical="center"/>
    </xf>
    <xf numFmtId="165" fontId="27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 vertical="top" wrapText="1"/>
    </xf>
    <xf numFmtId="2" fontId="5" fillId="12" borderId="1" xfId="0" applyNumberFormat="1" applyFont="1" applyFill="1" applyBorder="1" applyAlignment="1">
      <alignment horizontal="center" vertical="top" wrapText="1"/>
    </xf>
    <xf numFmtId="2" fontId="32" fillId="12" borderId="7" xfId="0" applyNumberFormat="1" applyFont="1" applyFill="1" applyBorder="1" applyAlignment="1">
      <alignment horizontal="center"/>
    </xf>
    <xf numFmtId="2" fontId="5" fillId="12" borderId="1" xfId="0" applyNumberFormat="1" applyFont="1" applyFill="1" applyBorder="1" applyAlignment="1">
      <alignment horizontal="center" vertical="center" wrapText="1"/>
    </xf>
    <xf numFmtId="2" fontId="5" fillId="11" borderId="1" xfId="0" applyNumberFormat="1" applyFont="1" applyFill="1" applyBorder="1" applyAlignment="1">
      <alignment horizontal="center" vertical="top" wrapText="1"/>
    </xf>
    <xf numFmtId="2" fontId="5" fillId="11" borderId="1" xfId="0" applyNumberFormat="1" applyFont="1" applyFill="1" applyBorder="1" applyAlignment="1">
      <alignment horizontal="center"/>
    </xf>
    <xf numFmtId="2" fontId="5" fillId="12" borderId="1" xfId="0" applyNumberFormat="1" applyFont="1" applyFill="1" applyBorder="1" applyAlignment="1">
      <alignment horizontal="center" vertical="center"/>
    </xf>
    <xf numFmtId="2" fontId="5" fillId="12" borderId="7" xfId="0" applyNumberFormat="1" applyFont="1" applyFill="1" applyBorder="1" applyAlignment="1">
      <alignment horizontal="center"/>
    </xf>
    <xf numFmtId="164" fontId="5" fillId="12" borderId="7" xfId="0" applyNumberFormat="1" applyFont="1" applyFill="1" applyBorder="1" applyAlignment="1">
      <alignment horizontal="center"/>
    </xf>
    <xf numFmtId="44" fontId="5" fillId="0" borderId="1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4" fontId="2" fillId="9" borderId="1" xfId="0" applyNumberFormat="1" applyFont="1" applyFill="1" applyBorder="1" applyAlignment="1">
      <alignment horizontal="center" vertical="center"/>
    </xf>
    <xf numFmtId="164" fontId="32" fillId="0" borderId="7" xfId="0" applyNumberFormat="1" applyFont="1" applyBorder="1" applyAlignment="1">
      <alignment horizontal="center"/>
    </xf>
    <xf numFmtId="164" fontId="32" fillId="0" borderId="1" xfId="0" applyNumberFormat="1" applyFont="1" applyBorder="1" applyAlignment="1">
      <alignment horizontal="center"/>
    </xf>
    <xf numFmtId="0" fontId="41" fillId="16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168" fontId="50" fillId="4" borderId="0" xfId="0" applyNumberFormat="1" applyFont="1" applyFill="1"/>
    <xf numFmtId="168" fontId="58" fillId="10" borderId="0" xfId="0" applyNumberFormat="1" applyFont="1" applyFill="1"/>
    <xf numFmtId="168" fontId="58" fillId="10" borderId="0" xfId="0" applyNumberFormat="1" applyFont="1" applyFill="1" applyBorder="1"/>
    <xf numFmtId="164" fontId="0" fillId="14" borderId="1" xfId="0" applyNumberFormat="1" applyFill="1" applyBorder="1" applyAlignment="1">
      <alignment horizontal="center" vertical="center"/>
    </xf>
    <xf numFmtId="168" fontId="59" fillId="4" borderId="0" xfId="0" applyNumberFormat="1" applyFont="1" applyFill="1"/>
    <xf numFmtId="0" fontId="47" fillId="17" borderId="14" xfId="0" applyFont="1" applyFill="1" applyBorder="1" applyAlignment="1">
      <alignment horizontal="center" vertical="center"/>
    </xf>
    <xf numFmtId="0" fontId="47" fillId="17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0" fillId="0" borderId="8" xfId="1" applyFont="1" applyFill="1" applyBorder="1" applyAlignment="1">
      <alignment horizontal="center" vertical="center"/>
    </xf>
    <xf numFmtId="44" fontId="0" fillId="0" borderId="10" xfId="1" applyFont="1" applyFill="1" applyBorder="1" applyAlignment="1">
      <alignment horizontal="center" vertical="center"/>
    </xf>
    <xf numFmtId="166" fontId="34" fillId="10" borderId="15" xfId="0" applyNumberFormat="1" applyFont="1" applyFill="1" applyBorder="1" applyAlignment="1">
      <alignment horizontal="center" vertical="center"/>
    </xf>
    <xf numFmtId="166" fontId="34" fillId="10" borderId="0" xfId="0" applyNumberFormat="1" applyFont="1" applyFill="1" applyBorder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166" fontId="35" fillId="10" borderId="15" xfId="2" applyFont="1" applyFill="1" applyBorder="1" applyAlignment="1">
      <alignment horizontal="center" vertical="center"/>
    </xf>
    <xf numFmtId="166" fontId="35" fillId="10" borderId="0" xfId="2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33" fillId="5" borderId="8" xfId="0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/>
    </xf>
    <xf numFmtId="0" fontId="33" fillId="5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42" fillId="7" borderId="0" xfId="0" applyFont="1" applyFill="1" applyAlignment="1">
      <alignment horizontal="center"/>
    </xf>
    <xf numFmtId="44" fontId="19" fillId="0" borderId="0" xfId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0" fontId="55" fillId="9" borderId="1" xfId="0" applyFont="1" applyFill="1" applyBorder="1" applyAlignment="1">
      <alignment horizontal="center"/>
    </xf>
    <xf numFmtId="0" fontId="44" fillId="9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30" fillId="7" borderId="0" xfId="0" applyFont="1" applyFill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">
    <cellStyle name="Moeda" xfId="1" builtinId="4"/>
    <cellStyle name="Moeda 2" xfId="2"/>
    <cellStyle name="Normal" xfId="0" builtinId="0"/>
    <cellStyle name="Vírgula" xfId="3" builtinId="3"/>
  </cellStyles>
  <dxfs count="0"/>
  <tableStyles count="0" defaultTableStyle="TableStyleMedium2" defaultPivotStyle="PivotStyleLight16"/>
  <colors>
    <mruColors>
      <color rgb="FFE9EB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137582</xdr:rowOff>
    </xdr:from>
    <xdr:to>
      <xdr:col>18</xdr:col>
      <xdr:colOff>909210</xdr:colOff>
      <xdr:row>24</xdr:row>
      <xdr:rowOff>42332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137582"/>
          <a:ext cx="15112044" cy="6656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107156</xdr:rowOff>
    </xdr:from>
    <xdr:to>
      <xdr:col>21</xdr:col>
      <xdr:colOff>185736</xdr:colOff>
      <xdr:row>23</xdr:row>
      <xdr:rowOff>107156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107156"/>
          <a:ext cx="16830673" cy="6334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151006</xdr:colOff>
      <xdr:row>1</xdr:row>
      <xdr:rowOff>11616</xdr:rowOff>
    </xdr:from>
    <xdr:to>
      <xdr:col>14</xdr:col>
      <xdr:colOff>586731</xdr:colOff>
      <xdr:row>30</xdr:row>
      <xdr:rowOff>11616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006" y="174238"/>
          <a:ext cx="11331396" cy="4716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333375</xdr:rowOff>
    </xdr:from>
    <xdr:to>
      <xdr:col>16</xdr:col>
      <xdr:colOff>204880</xdr:colOff>
      <xdr:row>27</xdr:row>
      <xdr:rowOff>152400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"/>
          <a:ext cx="11653930" cy="520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E233"/>
  <sheetViews>
    <sheetView topLeftCell="G1" workbookViewId="0">
      <selection activeCell="Y8" sqref="Y8:Y52"/>
    </sheetView>
  </sheetViews>
  <sheetFormatPr defaultRowHeight="15" x14ac:dyDescent="0.25"/>
  <cols>
    <col min="1" max="1" width="20" customWidth="1"/>
    <col min="2" max="2" width="8.42578125" customWidth="1"/>
    <col min="3" max="3" width="11.28515625" customWidth="1"/>
    <col min="4" max="4" width="13.140625" customWidth="1"/>
    <col min="5" max="5" width="12.7109375" customWidth="1"/>
    <col min="6" max="6" width="10.85546875" customWidth="1"/>
    <col min="7" max="7" width="2.28515625" customWidth="1"/>
    <col min="8" max="8" width="12.85546875" customWidth="1"/>
    <col min="9" max="9" width="12.7109375" customWidth="1"/>
    <col min="10" max="10" width="12.28515625" customWidth="1"/>
    <col min="11" max="11" width="11.42578125" customWidth="1"/>
    <col min="12" max="12" width="3" customWidth="1"/>
    <col min="13" max="13" width="15.42578125" style="19" customWidth="1"/>
    <col min="14" max="14" width="10.85546875" style="19" customWidth="1"/>
    <col min="15" max="15" width="10.85546875" customWidth="1"/>
    <col min="16" max="16" width="16.85546875" customWidth="1"/>
    <col min="17" max="17" width="2.7109375" customWidth="1"/>
    <col min="18" max="18" width="14.5703125" customWidth="1"/>
    <col min="19" max="19" width="11.42578125" customWidth="1"/>
    <col min="20" max="20" width="10.28515625" customWidth="1"/>
    <col min="21" max="21" width="18.28515625" customWidth="1"/>
    <col min="22" max="22" width="2.85546875" customWidth="1"/>
    <col min="23" max="23" width="14.85546875" style="16" customWidth="1"/>
    <col min="24" max="24" width="11.140625" style="16" customWidth="1"/>
    <col min="25" max="25" width="10.5703125" style="16" customWidth="1"/>
    <col min="26" max="26" width="20.7109375" style="16" customWidth="1"/>
    <col min="27" max="27" width="15.140625" style="16" customWidth="1"/>
    <col min="28" max="28" width="16.140625" style="16" customWidth="1"/>
    <col min="29" max="29" width="18.5703125" style="16" customWidth="1"/>
    <col min="30" max="30" width="19.7109375" style="16" customWidth="1"/>
    <col min="31" max="31" width="14.42578125" style="16" customWidth="1"/>
    <col min="266" max="266" width="20.42578125" customWidth="1"/>
    <col min="268" max="268" width="11" customWidth="1"/>
    <col min="270" max="270" width="15.7109375" customWidth="1"/>
    <col min="271" max="271" width="10.85546875" customWidth="1"/>
    <col min="272" max="272" width="14" bestFit="1" customWidth="1"/>
    <col min="273" max="273" width="19.140625" customWidth="1"/>
    <col min="275" max="275" width="14.5703125" customWidth="1"/>
    <col min="276" max="276" width="13.7109375" customWidth="1"/>
    <col min="277" max="277" width="16.7109375" customWidth="1"/>
    <col min="278" max="278" width="17" customWidth="1"/>
    <col min="522" max="522" width="20.42578125" customWidth="1"/>
    <col min="524" max="524" width="11" customWidth="1"/>
    <col min="526" max="526" width="15.7109375" customWidth="1"/>
    <col min="527" max="527" width="10.85546875" customWidth="1"/>
    <col min="528" max="528" width="14" bestFit="1" customWidth="1"/>
    <col min="529" max="529" width="19.140625" customWidth="1"/>
    <col min="531" max="531" width="14.5703125" customWidth="1"/>
    <col min="532" max="532" width="13.7109375" customWidth="1"/>
    <col min="533" max="533" width="16.7109375" customWidth="1"/>
    <col min="534" max="534" width="17" customWidth="1"/>
    <col min="778" max="778" width="20.42578125" customWidth="1"/>
    <col min="780" max="780" width="11" customWidth="1"/>
    <col min="782" max="782" width="15.7109375" customWidth="1"/>
    <col min="783" max="783" width="10.85546875" customWidth="1"/>
    <col min="784" max="784" width="14" bestFit="1" customWidth="1"/>
    <col min="785" max="785" width="19.140625" customWidth="1"/>
    <col min="787" max="787" width="14.5703125" customWidth="1"/>
    <col min="788" max="788" width="13.7109375" customWidth="1"/>
    <col min="789" max="789" width="16.7109375" customWidth="1"/>
    <col min="790" max="790" width="17" customWidth="1"/>
    <col min="1034" max="1034" width="20.42578125" customWidth="1"/>
    <col min="1036" max="1036" width="11" customWidth="1"/>
    <col min="1038" max="1038" width="15.7109375" customWidth="1"/>
    <col min="1039" max="1039" width="10.85546875" customWidth="1"/>
    <col min="1040" max="1040" width="14" bestFit="1" customWidth="1"/>
    <col min="1041" max="1041" width="19.140625" customWidth="1"/>
    <col min="1043" max="1043" width="14.5703125" customWidth="1"/>
    <col min="1044" max="1044" width="13.7109375" customWidth="1"/>
    <col min="1045" max="1045" width="16.7109375" customWidth="1"/>
    <col min="1046" max="1046" width="17" customWidth="1"/>
    <col min="1290" max="1290" width="20.42578125" customWidth="1"/>
    <col min="1292" max="1292" width="11" customWidth="1"/>
    <col min="1294" max="1294" width="15.7109375" customWidth="1"/>
    <col min="1295" max="1295" width="10.85546875" customWidth="1"/>
    <col min="1296" max="1296" width="14" bestFit="1" customWidth="1"/>
    <col min="1297" max="1297" width="19.140625" customWidth="1"/>
    <col min="1299" max="1299" width="14.5703125" customWidth="1"/>
    <col min="1300" max="1300" width="13.7109375" customWidth="1"/>
    <col min="1301" max="1301" width="16.7109375" customWidth="1"/>
    <col min="1302" max="1302" width="17" customWidth="1"/>
    <col min="1546" max="1546" width="20.42578125" customWidth="1"/>
    <col min="1548" max="1548" width="11" customWidth="1"/>
    <col min="1550" max="1550" width="15.7109375" customWidth="1"/>
    <col min="1551" max="1551" width="10.85546875" customWidth="1"/>
    <col min="1552" max="1552" width="14" bestFit="1" customWidth="1"/>
    <col min="1553" max="1553" width="19.140625" customWidth="1"/>
    <col min="1555" max="1555" width="14.5703125" customWidth="1"/>
    <col min="1556" max="1556" width="13.7109375" customWidth="1"/>
    <col min="1557" max="1557" width="16.7109375" customWidth="1"/>
    <col min="1558" max="1558" width="17" customWidth="1"/>
    <col min="1802" max="1802" width="20.42578125" customWidth="1"/>
    <col min="1804" max="1804" width="11" customWidth="1"/>
    <col min="1806" max="1806" width="15.7109375" customWidth="1"/>
    <col min="1807" max="1807" width="10.85546875" customWidth="1"/>
    <col min="1808" max="1808" width="14" bestFit="1" customWidth="1"/>
    <col min="1809" max="1809" width="19.140625" customWidth="1"/>
    <col min="1811" max="1811" width="14.5703125" customWidth="1"/>
    <col min="1812" max="1812" width="13.7109375" customWidth="1"/>
    <col min="1813" max="1813" width="16.7109375" customWidth="1"/>
    <col min="1814" max="1814" width="17" customWidth="1"/>
    <col min="2058" max="2058" width="20.42578125" customWidth="1"/>
    <col min="2060" max="2060" width="11" customWidth="1"/>
    <col min="2062" max="2062" width="15.7109375" customWidth="1"/>
    <col min="2063" max="2063" width="10.85546875" customWidth="1"/>
    <col min="2064" max="2064" width="14" bestFit="1" customWidth="1"/>
    <col min="2065" max="2065" width="19.140625" customWidth="1"/>
    <col min="2067" max="2067" width="14.5703125" customWidth="1"/>
    <col min="2068" max="2068" width="13.7109375" customWidth="1"/>
    <col min="2069" max="2069" width="16.7109375" customWidth="1"/>
    <col min="2070" max="2070" width="17" customWidth="1"/>
    <col min="2314" max="2314" width="20.42578125" customWidth="1"/>
    <col min="2316" max="2316" width="11" customWidth="1"/>
    <col min="2318" max="2318" width="15.7109375" customWidth="1"/>
    <col min="2319" max="2319" width="10.85546875" customWidth="1"/>
    <col min="2320" max="2320" width="14" bestFit="1" customWidth="1"/>
    <col min="2321" max="2321" width="19.140625" customWidth="1"/>
    <col min="2323" max="2323" width="14.5703125" customWidth="1"/>
    <col min="2324" max="2324" width="13.7109375" customWidth="1"/>
    <col min="2325" max="2325" width="16.7109375" customWidth="1"/>
    <col min="2326" max="2326" width="17" customWidth="1"/>
    <col min="2570" max="2570" width="20.42578125" customWidth="1"/>
    <col min="2572" max="2572" width="11" customWidth="1"/>
    <col min="2574" max="2574" width="15.7109375" customWidth="1"/>
    <col min="2575" max="2575" width="10.85546875" customWidth="1"/>
    <col min="2576" max="2576" width="14" bestFit="1" customWidth="1"/>
    <col min="2577" max="2577" width="19.140625" customWidth="1"/>
    <col min="2579" max="2579" width="14.5703125" customWidth="1"/>
    <col min="2580" max="2580" width="13.7109375" customWidth="1"/>
    <col min="2581" max="2581" width="16.7109375" customWidth="1"/>
    <col min="2582" max="2582" width="17" customWidth="1"/>
    <col min="2826" max="2826" width="20.42578125" customWidth="1"/>
    <col min="2828" max="2828" width="11" customWidth="1"/>
    <col min="2830" max="2830" width="15.7109375" customWidth="1"/>
    <col min="2831" max="2831" width="10.85546875" customWidth="1"/>
    <col min="2832" max="2832" width="14" bestFit="1" customWidth="1"/>
    <col min="2833" max="2833" width="19.140625" customWidth="1"/>
    <col min="2835" max="2835" width="14.5703125" customWidth="1"/>
    <col min="2836" max="2836" width="13.7109375" customWidth="1"/>
    <col min="2837" max="2837" width="16.7109375" customWidth="1"/>
    <col min="2838" max="2838" width="17" customWidth="1"/>
    <col min="3082" max="3082" width="20.42578125" customWidth="1"/>
    <col min="3084" max="3084" width="11" customWidth="1"/>
    <col min="3086" max="3086" width="15.7109375" customWidth="1"/>
    <col min="3087" max="3087" width="10.85546875" customWidth="1"/>
    <col min="3088" max="3088" width="14" bestFit="1" customWidth="1"/>
    <col min="3089" max="3089" width="19.140625" customWidth="1"/>
    <col min="3091" max="3091" width="14.5703125" customWidth="1"/>
    <col min="3092" max="3092" width="13.7109375" customWidth="1"/>
    <col min="3093" max="3093" width="16.7109375" customWidth="1"/>
    <col min="3094" max="3094" width="17" customWidth="1"/>
    <col min="3338" max="3338" width="20.42578125" customWidth="1"/>
    <col min="3340" max="3340" width="11" customWidth="1"/>
    <col min="3342" max="3342" width="15.7109375" customWidth="1"/>
    <col min="3343" max="3343" width="10.85546875" customWidth="1"/>
    <col min="3344" max="3344" width="14" bestFit="1" customWidth="1"/>
    <col min="3345" max="3345" width="19.140625" customWidth="1"/>
    <col min="3347" max="3347" width="14.5703125" customWidth="1"/>
    <col min="3348" max="3348" width="13.7109375" customWidth="1"/>
    <col min="3349" max="3349" width="16.7109375" customWidth="1"/>
    <col min="3350" max="3350" width="17" customWidth="1"/>
    <col min="3594" max="3594" width="20.42578125" customWidth="1"/>
    <col min="3596" max="3596" width="11" customWidth="1"/>
    <col min="3598" max="3598" width="15.7109375" customWidth="1"/>
    <col min="3599" max="3599" width="10.85546875" customWidth="1"/>
    <col min="3600" max="3600" width="14" bestFit="1" customWidth="1"/>
    <col min="3601" max="3601" width="19.140625" customWidth="1"/>
    <col min="3603" max="3603" width="14.5703125" customWidth="1"/>
    <col min="3604" max="3604" width="13.7109375" customWidth="1"/>
    <col min="3605" max="3605" width="16.7109375" customWidth="1"/>
    <col min="3606" max="3606" width="17" customWidth="1"/>
    <col min="3850" max="3850" width="20.42578125" customWidth="1"/>
    <col min="3852" max="3852" width="11" customWidth="1"/>
    <col min="3854" max="3854" width="15.7109375" customWidth="1"/>
    <col min="3855" max="3855" width="10.85546875" customWidth="1"/>
    <col min="3856" max="3856" width="14" bestFit="1" customWidth="1"/>
    <col min="3857" max="3857" width="19.140625" customWidth="1"/>
    <col min="3859" max="3859" width="14.5703125" customWidth="1"/>
    <col min="3860" max="3860" width="13.7109375" customWidth="1"/>
    <col min="3861" max="3861" width="16.7109375" customWidth="1"/>
    <col min="3862" max="3862" width="17" customWidth="1"/>
    <col min="4106" max="4106" width="20.42578125" customWidth="1"/>
    <col min="4108" max="4108" width="11" customWidth="1"/>
    <col min="4110" max="4110" width="15.7109375" customWidth="1"/>
    <col min="4111" max="4111" width="10.85546875" customWidth="1"/>
    <col min="4112" max="4112" width="14" bestFit="1" customWidth="1"/>
    <col min="4113" max="4113" width="19.140625" customWidth="1"/>
    <col min="4115" max="4115" width="14.5703125" customWidth="1"/>
    <col min="4116" max="4116" width="13.7109375" customWidth="1"/>
    <col min="4117" max="4117" width="16.7109375" customWidth="1"/>
    <col min="4118" max="4118" width="17" customWidth="1"/>
    <col min="4362" max="4362" width="20.42578125" customWidth="1"/>
    <col min="4364" max="4364" width="11" customWidth="1"/>
    <col min="4366" max="4366" width="15.7109375" customWidth="1"/>
    <col min="4367" max="4367" width="10.85546875" customWidth="1"/>
    <col min="4368" max="4368" width="14" bestFit="1" customWidth="1"/>
    <col min="4369" max="4369" width="19.140625" customWidth="1"/>
    <col min="4371" max="4371" width="14.5703125" customWidth="1"/>
    <col min="4372" max="4372" width="13.7109375" customWidth="1"/>
    <col min="4373" max="4373" width="16.7109375" customWidth="1"/>
    <col min="4374" max="4374" width="17" customWidth="1"/>
    <col min="4618" max="4618" width="20.42578125" customWidth="1"/>
    <col min="4620" max="4620" width="11" customWidth="1"/>
    <col min="4622" max="4622" width="15.7109375" customWidth="1"/>
    <col min="4623" max="4623" width="10.85546875" customWidth="1"/>
    <col min="4624" max="4624" width="14" bestFit="1" customWidth="1"/>
    <col min="4625" max="4625" width="19.140625" customWidth="1"/>
    <col min="4627" max="4627" width="14.5703125" customWidth="1"/>
    <col min="4628" max="4628" width="13.7109375" customWidth="1"/>
    <col min="4629" max="4629" width="16.7109375" customWidth="1"/>
    <col min="4630" max="4630" width="17" customWidth="1"/>
    <col min="4874" max="4874" width="20.42578125" customWidth="1"/>
    <col min="4876" max="4876" width="11" customWidth="1"/>
    <col min="4878" max="4878" width="15.7109375" customWidth="1"/>
    <col min="4879" max="4879" width="10.85546875" customWidth="1"/>
    <col min="4880" max="4880" width="14" bestFit="1" customWidth="1"/>
    <col min="4881" max="4881" width="19.140625" customWidth="1"/>
    <col min="4883" max="4883" width="14.5703125" customWidth="1"/>
    <col min="4884" max="4884" width="13.7109375" customWidth="1"/>
    <col min="4885" max="4885" width="16.7109375" customWidth="1"/>
    <col min="4886" max="4886" width="17" customWidth="1"/>
    <col min="5130" max="5130" width="20.42578125" customWidth="1"/>
    <col min="5132" max="5132" width="11" customWidth="1"/>
    <col min="5134" max="5134" width="15.7109375" customWidth="1"/>
    <col min="5135" max="5135" width="10.85546875" customWidth="1"/>
    <col min="5136" max="5136" width="14" bestFit="1" customWidth="1"/>
    <col min="5137" max="5137" width="19.140625" customWidth="1"/>
    <col min="5139" max="5139" width="14.5703125" customWidth="1"/>
    <col min="5140" max="5140" width="13.7109375" customWidth="1"/>
    <col min="5141" max="5141" width="16.7109375" customWidth="1"/>
    <col min="5142" max="5142" width="17" customWidth="1"/>
    <col min="5386" max="5386" width="20.42578125" customWidth="1"/>
    <col min="5388" max="5388" width="11" customWidth="1"/>
    <col min="5390" max="5390" width="15.7109375" customWidth="1"/>
    <col min="5391" max="5391" width="10.85546875" customWidth="1"/>
    <col min="5392" max="5392" width="14" bestFit="1" customWidth="1"/>
    <col min="5393" max="5393" width="19.140625" customWidth="1"/>
    <col min="5395" max="5395" width="14.5703125" customWidth="1"/>
    <col min="5396" max="5396" width="13.7109375" customWidth="1"/>
    <col min="5397" max="5397" width="16.7109375" customWidth="1"/>
    <col min="5398" max="5398" width="17" customWidth="1"/>
    <col min="5642" max="5642" width="20.42578125" customWidth="1"/>
    <col min="5644" max="5644" width="11" customWidth="1"/>
    <col min="5646" max="5646" width="15.7109375" customWidth="1"/>
    <col min="5647" max="5647" width="10.85546875" customWidth="1"/>
    <col min="5648" max="5648" width="14" bestFit="1" customWidth="1"/>
    <col min="5649" max="5649" width="19.140625" customWidth="1"/>
    <col min="5651" max="5651" width="14.5703125" customWidth="1"/>
    <col min="5652" max="5652" width="13.7109375" customWidth="1"/>
    <col min="5653" max="5653" width="16.7109375" customWidth="1"/>
    <col min="5654" max="5654" width="17" customWidth="1"/>
    <col min="5898" max="5898" width="20.42578125" customWidth="1"/>
    <col min="5900" max="5900" width="11" customWidth="1"/>
    <col min="5902" max="5902" width="15.7109375" customWidth="1"/>
    <col min="5903" max="5903" width="10.85546875" customWidth="1"/>
    <col min="5904" max="5904" width="14" bestFit="1" customWidth="1"/>
    <col min="5905" max="5905" width="19.140625" customWidth="1"/>
    <col min="5907" max="5907" width="14.5703125" customWidth="1"/>
    <col min="5908" max="5908" width="13.7109375" customWidth="1"/>
    <col min="5909" max="5909" width="16.7109375" customWidth="1"/>
    <col min="5910" max="5910" width="17" customWidth="1"/>
    <col min="6154" max="6154" width="20.42578125" customWidth="1"/>
    <col min="6156" max="6156" width="11" customWidth="1"/>
    <col min="6158" max="6158" width="15.7109375" customWidth="1"/>
    <col min="6159" max="6159" width="10.85546875" customWidth="1"/>
    <col min="6160" max="6160" width="14" bestFit="1" customWidth="1"/>
    <col min="6161" max="6161" width="19.140625" customWidth="1"/>
    <col min="6163" max="6163" width="14.5703125" customWidth="1"/>
    <col min="6164" max="6164" width="13.7109375" customWidth="1"/>
    <col min="6165" max="6165" width="16.7109375" customWidth="1"/>
    <col min="6166" max="6166" width="17" customWidth="1"/>
    <col min="6410" max="6410" width="20.42578125" customWidth="1"/>
    <col min="6412" max="6412" width="11" customWidth="1"/>
    <col min="6414" max="6414" width="15.7109375" customWidth="1"/>
    <col min="6415" max="6415" width="10.85546875" customWidth="1"/>
    <col min="6416" max="6416" width="14" bestFit="1" customWidth="1"/>
    <col min="6417" max="6417" width="19.140625" customWidth="1"/>
    <col min="6419" max="6419" width="14.5703125" customWidth="1"/>
    <col min="6420" max="6420" width="13.7109375" customWidth="1"/>
    <col min="6421" max="6421" width="16.7109375" customWidth="1"/>
    <col min="6422" max="6422" width="17" customWidth="1"/>
    <col min="6666" max="6666" width="20.42578125" customWidth="1"/>
    <col min="6668" max="6668" width="11" customWidth="1"/>
    <col min="6670" max="6670" width="15.7109375" customWidth="1"/>
    <col min="6671" max="6671" width="10.85546875" customWidth="1"/>
    <col min="6672" max="6672" width="14" bestFit="1" customWidth="1"/>
    <col min="6673" max="6673" width="19.140625" customWidth="1"/>
    <col min="6675" max="6675" width="14.5703125" customWidth="1"/>
    <col min="6676" max="6676" width="13.7109375" customWidth="1"/>
    <col min="6677" max="6677" width="16.7109375" customWidth="1"/>
    <col min="6678" max="6678" width="17" customWidth="1"/>
    <col min="6922" max="6922" width="20.42578125" customWidth="1"/>
    <col min="6924" max="6924" width="11" customWidth="1"/>
    <col min="6926" max="6926" width="15.7109375" customWidth="1"/>
    <col min="6927" max="6927" width="10.85546875" customWidth="1"/>
    <col min="6928" max="6928" width="14" bestFit="1" customWidth="1"/>
    <col min="6929" max="6929" width="19.140625" customWidth="1"/>
    <col min="6931" max="6931" width="14.5703125" customWidth="1"/>
    <col min="6932" max="6932" width="13.7109375" customWidth="1"/>
    <col min="6933" max="6933" width="16.7109375" customWidth="1"/>
    <col min="6934" max="6934" width="17" customWidth="1"/>
    <col min="7178" max="7178" width="20.42578125" customWidth="1"/>
    <col min="7180" max="7180" width="11" customWidth="1"/>
    <col min="7182" max="7182" width="15.7109375" customWidth="1"/>
    <col min="7183" max="7183" width="10.85546875" customWidth="1"/>
    <col min="7184" max="7184" width="14" bestFit="1" customWidth="1"/>
    <col min="7185" max="7185" width="19.140625" customWidth="1"/>
    <col min="7187" max="7187" width="14.5703125" customWidth="1"/>
    <col min="7188" max="7188" width="13.7109375" customWidth="1"/>
    <col min="7189" max="7189" width="16.7109375" customWidth="1"/>
    <col min="7190" max="7190" width="17" customWidth="1"/>
    <col min="7434" max="7434" width="20.42578125" customWidth="1"/>
    <col min="7436" max="7436" width="11" customWidth="1"/>
    <col min="7438" max="7438" width="15.7109375" customWidth="1"/>
    <col min="7439" max="7439" width="10.85546875" customWidth="1"/>
    <col min="7440" max="7440" width="14" bestFit="1" customWidth="1"/>
    <col min="7441" max="7441" width="19.140625" customWidth="1"/>
    <col min="7443" max="7443" width="14.5703125" customWidth="1"/>
    <col min="7444" max="7444" width="13.7109375" customWidth="1"/>
    <col min="7445" max="7445" width="16.7109375" customWidth="1"/>
    <col min="7446" max="7446" width="17" customWidth="1"/>
    <col min="7690" max="7690" width="20.42578125" customWidth="1"/>
    <col min="7692" max="7692" width="11" customWidth="1"/>
    <col min="7694" max="7694" width="15.7109375" customWidth="1"/>
    <col min="7695" max="7695" width="10.85546875" customWidth="1"/>
    <col min="7696" max="7696" width="14" bestFit="1" customWidth="1"/>
    <col min="7697" max="7697" width="19.140625" customWidth="1"/>
    <col min="7699" max="7699" width="14.5703125" customWidth="1"/>
    <col min="7700" max="7700" width="13.7109375" customWidth="1"/>
    <col min="7701" max="7701" width="16.7109375" customWidth="1"/>
    <col min="7702" max="7702" width="17" customWidth="1"/>
    <col min="7946" max="7946" width="20.42578125" customWidth="1"/>
    <col min="7948" max="7948" width="11" customWidth="1"/>
    <col min="7950" max="7950" width="15.7109375" customWidth="1"/>
    <col min="7951" max="7951" width="10.85546875" customWidth="1"/>
    <col min="7952" max="7952" width="14" bestFit="1" customWidth="1"/>
    <col min="7953" max="7953" width="19.140625" customWidth="1"/>
    <col min="7955" max="7955" width="14.5703125" customWidth="1"/>
    <col min="7956" max="7956" width="13.7109375" customWidth="1"/>
    <col min="7957" max="7957" width="16.7109375" customWidth="1"/>
    <col min="7958" max="7958" width="17" customWidth="1"/>
    <col min="8202" max="8202" width="20.42578125" customWidth="1"/>
    <col min="8204" max="8204" width="11" customWidth="1"/>
    <col min="8206" max="8206" width="15.7109375" customWidth="1"/>
    <col min="8207" max="8207" width="10.85546875" customWidth="1"/>
    <col min="8208" max="8208" width="14" bestFit="1" customWidth="1"/>
    <col min="8209" max="8209" width="19.140625" customWidth="1"/>
    <col min="8211" max="8211" width="14.5703125" customWidth="1"/>
    <col min="8212" max="8212" width="13.7109375" customWidth="1"/>
    <col min="8213" max="8213" width="16.7109375" customWidth="1"/>
    <col min="8214" max="8214" width="17" customWidth="1"/>
    <col min="8458" max="8458" width="20.42578125" customWidth="1"/>
    <col min="8460" max="8460" width="11" customWidth="1"/>
    <col min="8462" max="8462" width="15.7109375" customWidth="1"/>
    <col min="8463" max="8463" width="10.85546875" customWidth="1"/>
    <col min="8464" max="8464" width="14" bestFit="1" customWidth="1"/>
    <col min="8465" max="8465" width="19.140625" customWidth="1"/>
    <col min="8467" max="8467" width="14.5703125" customWidth="1"/>
    <col min="8468" max="8468" width="13.7109375" customWidth="1"/>
    <col min="8469" max="8469" width="16.7109375" customWidth="1"/>
    <col min="8470" max="8470" width="17" customWidth="1"/>
    <col min="8714" max="8714" width="20.42578125" customWidth="1"/>
    <col min="8716" max="8716" width="11" customWidth="1"/>
    <col min="8718" max="8718" width="15.7109375" customWidth="1"/>
    <col min="8719" max="8719" width="10.85546875" customWidth="1"/>
    <col min="8720" max="8720" width="14" bestFit="1" customWidth="1"/>
    <col min="8721" max="8721" width="19.140625" customWidth="1"/>
    <col min="8723" max="8723" width="14.5703125" customWidth="1"/>
    <col min="8724" max="8724" width="13.7109375" customWidth="1"/>
    <col min="8725" max="8725" width="16.7109375" customWidth="1"/>
    <col min="8726" max="8726" width="17" customWidth="1"/>
    <col min="8970" max="8970" width="20.42578125" customWidth="1"/>
    <col min="8972" max="8972" width="11" customWidth="1"/>
    <col min="8974" max="8974" width="15.7109375" customWidth="1"/>
    <col min="8975" max="8975" width="10.85546875" customWidth="1"/>
    <col min="8976" max="8976" width="14" bestFit="1" customWidth="1"/>
    <col min="8977" max="8977" width="19.140625" customWidth="1"/>
    <col min="8979" max="8979" width="14.5703125" customWidth="1"/>
    <col min="8980" max="8980" width="13.7109375" customWidth="1"/>
    <col min="8981" max="8981" width="16.7109375" customWidth="1"/>
    <col min="8982" max="8982" width="17" customWidth="1"/>
    <col min="9226" max="9226" width="20.42578125" customWidth="1"/>
    <col min="9228" max="9228" width="11" customWidth="1"/>
    <col min="9230" max="9230" width="15.7109375" customWidth="1"/>
    <col min="9231" max="9231" width="10.85546875" customWidth="1"/>
    <col min="9232" max="9232" width="14" bestFit="1" customWidth="1"/>
    <col min="9233" max="9233" width="19.140625" customWidth="1"/>
    <col min="9235" max="9235" width="14.5703125" customWidth="1"/>
    <col min="9236" max="9236" width="13.7109375" customWidth="1"/>
    <col min="9237" max="9237" width="16.7109375" customWidth="1"/>
    <col min="9238" max="9238" width="17" customWidth="1"/>
    <col min="9482" max="9482" width="20.42578125" customWidth="1"/>
    <col min="9484" max="9484" width="11" customWidth="1"/>
    <col min="9486" max="9486" width="15.7109375" customWidth="1"/>
    <col min="9487" max="9487" width="10.85546875" customWidth="1"/>
    <col min="9488" max="9488" width="14" bestFit="1" customWidth="1"/>
    <col min="9489" max="9489" width="19.140625" customWidth="1"/>
    <col min="9491" max="9491" width="14.5703125" customWidth="1"/>
    <col min="9492" max="9492" width="13.7109375" customWidth="1"/>
    <col min="9493" max="9493" width="16.7109375" customWidth="1"/>
    <col min="9494" max="9494" width="17" customWidth="1"/>
    <col min="9738" max="9738" width="20.42578125" customWidth="1"/>
    <col min="9740" max="9740" width="11" customWidth="1"/>
    <col min="9742" max="9742" width="15.7109375" customWidth="1"/>
    <col min="9743" max="9743" width="10.85546875" customWidth="1"/>
    <col min="9744" max="9744" width="14" bestFit="1" customWidth="1"/>
    <col min="9745" max="9745" width="19.140625" customWidth="1"/>
    <col min="9747" max="9747" width="14.5703125" customWidth="1"/>
    <col min="9748" max="9748" width="13.7109375" customWidth="1"/>
    <col min="9749" max="9749" width="16.7109375" customWidth="1"/>
    <col min="9750" max="9750" width="17" customWidth="1"/>
    <col min="9994" max="9994" width="20.42578125" customWidth="1"/>
    <col min="9996" max="9996" width="11" customWidth="1"/>
    <col min="9998" max="9998" width="15.7109375" customWidth="1"/>
    <col min="9999" max="9999" width="10.85546875" customWidth="1"/>
    <col min="10000" max="10000" width="14" bestFit="1" customWidth="1"/>
    <col min="10001" max="10001" width="19.140625" customWidth="1"/>
    <col min="10003" max="10003" width="14.5703125" customWidth="1"/>
    <col min="10004" max="10004" width="13.7109375" customWidth="1"/>
    <col min="10005" max="10005" width="16.7109375" customWidth="1"/>
    <col min="10006" max="10006" width="17" customWidth="1"/>
    <col min="10250" max="10250" width="20.42578125" customWidth="1"/>
    <col min="10252" max="10252" width="11" customWidth="1"/>
    <col min="10254" max="10254" width="15.7109375" customWidth="1"/>
    <col min="10255" max="10255" width="10.85546875" customWidth="1"/>
    <col min="10256" max="10256" width="14" bestFit="1" customWidth="1"/>
    <col min="10257" max="10257" width="19.140625" customWidth="1"/>
    <col min="10259" max="10259" width="14.5703125" customWidth="1"/>
    <col min="10260" max="10260" width="13.7109375" customWidth="1"/>
    <col min="10261" max="10261" width="16.7109375" customWidth="1"/>
    <col min="10262" max="10262" width="17" customWidth="1"/>
    <col min="10506" max="10506" width="20.42578125" customWidth="1"/>
    <col min="10508" max="10508" width="11" customWidth="1"/>
    <col min="10510" max="10510" width="15.7109375" customWidth="1"/>
    <col min="10511" max="10511" width="10.85546875" customWidth="1"/>
    <col min="10512" max="10512" width="14" bestFit="1" customWidth="1"/>
    <col min="10513" max="10513" width="19.140625" customWidth="1"/>
    <col min="10515" max="10515" width="14.5703125" customWidth="1"/>
    <col min="10516" max="10516" width="13.7109375" customWidth="1"/>
    <col min="10517" max="10517" width="16.7109375" customWidth="1"/>
    <col min="10518" max="10518" width="17" customWidth="1"/>
    <col min="10762" max="10762" width="20.42578125" customWidth="1"/>
    <col min="10764" max="10764" width="11" customWidth="1"/>
    <col min="10766" max="10766" width="15.7109375" customWidth="1"/>
    <col min="10767" max="10767" width="10.85546875" customWidth="1"/>
    <col min="10768" max="10768" width="14" bestFit="1" customWidth="1"/>
    <col min="10769" max="10769" width="19.140625" customWidth="1"/>
    <col min="10771" max="10771" width="14.5703125" customWidth="1"/>
    <col min="10772" max="10772" width="13.7109375" customWidth="1"/>
    <col min="10773" max="10773" width="16.7109375" customWidth="1"/>
    <col min="10774" max="10774" width="17" customWidth="1"/>
    <col min="11018" max="11018" width="20.42578125" customWidth="1"/>
    <col min="11020" max="11020" width="11" customWidth="1"/>
    <col min="11022" max="11022" width="15.7109375" customWidth="1"/>
    <col min="11023" max="11023" width="10.85546875" customWidth="1"/>
    <col min="11024" max="11024" width="14" bestFit="1" customWidth="1"/>
    <col min="11025" max="11025" width="19.140625" customWidth="1"/>
    <col min="11027" max="11027" width="14.5703125" customWidth="1"/>
    <col min="11028" max="11028" width="13.7109375" customWidth="1"/>
    <col min="11029" max="11029" width="16.7109375" customWidth="1"/>
    <col min="11030" max="11030" width="17" customWidth="1"/>
    <col min="11274" max="11274" width="20.42578125" customWidth="1"/>
    <col min="11276" max="11276" width="11" customWidth="1"/>
    <col min="11278" max="11278" width="15.7109375" customWidth="1"/>
    <col min="11279" max="11279" width="10.85546875" customWidth="1"/>
    <col min="11280" max="11280" width="14" bestFit="1" customWidth="1"/>
    <col min="11281" max="11281" width="19.140625" customWidth="1"/>
    <col min="11283" max="11283" width="14.5703125" customWidth="1"/>
    <col min="11284" max="11284" width="13.7109375" customWidth="1"/>
    <col min="11285" max="11285" width="16.7109375" customWidth="1"/>
    <col min="11286" max="11286" width="17" customWidth="1"/>
    <col min="11530" max="11530" width="20.42578125" customWidth="1"/>
    <col min="11532" max="11532" width="11" customWidth="1"/>
    <col min="11534" max="11534" width="15.7109375" customWidth="1"/>
    <col min="11535" max="11535" width="10.85546875" customWidth="1"/>
    <col min="11536" max="11536" width="14" bestFit="1" customWidth="1"/>
    <col min="11537" max="11537" width="19.140625" customWidth="1"/>
    <col min="11539" max="11539" width="14.5703125" customWidth="1"/>
    <col min="11540" max="11540" width="13.7109375" customWidth="1"/>
    <col min="11541" max="11541" width="16.7109375" customWidth="1"/>
    <col min="11542" max="11542" width="17" customWidth="1"/>
    <col min="11786" max="11786" width="20.42578125" customWidth="1"/>
    <col min="11788" max="11788" width="11" customWidth="1"/>
    <col min="11790" max="11790" width="15.7109375" customWidth="1"/>
    <col min="11791" max="11791" width="10.85546875" customWidth="1"/>
    <col min="11792" max="11792" width="14" bestFit="1" customWidth="1"/>
    <col min="11793" max="11793" width="19.140625" customWidth="1"/>
    <col min="11795" max="11795" width="14.5703125" customWidth="1"/>
    <col min="11796" max="11796" width="13.7109375" customWidth="1"/>
    <col min="11797" max="11797" width="16.7109375" customWidth="1"/>
    <col min="11798" max="11798" width="17" customWidth="1"/>
    <col min="12042" max="12042" width="20.42578125" customWidth="1"/>
    <col min="12044" max="12044" width="11" customWidth="1"/>
    <col min="12046" max="12046" width="15.7109375" customWidth="1"/>
    <col min="12047" max="12047" width="10.85546875" customWidth="1"/>
    <col min="12048" max="12048" width="14" bestFit="1" customWidth="1"/>
    <col min="12049" max="12049" width="19.140625" customWidth="1"/>
    <col min="12051" max="12051" width="14.5703125" customWidth="1"/>
    <col min="12052" max="12052" width="13.7109375" customWidth="1"/>
    <col min="12053" max="12053" width="16.7109375" customWidth="1"/>
    <col min="12054" max="12054" width="17" customWidth="1"/>
    <col min="12298" max="12298" width="20.42578125" customWidth="1"/>
    <col min="12300" max="12300" width="11" customWidth="1"/>
    <col min="12302" max="12302" width="15.7109375" customWidth="1"/>
    <col min="12303" max="12303" width="10.85546875" customWidth="1"/>
    <col min="12304" max="12304" width="14" bestFit="1" customWidth="1"/>
    <col min="12305" max="12305" width="19.140625" customWidth="1"/>
    <col min="12307" max="12307" width="14.5703125" customWidth="1"/>
    <col min="12308" max="12308" width="13.7109375" customWidth="1"/>
    <col min="12309" max="12309" width="16.7109375" customWidth="1"/>
    <col min="12310" max="12310" width="17" customWidth="1"/>
    <col min="12554" max="12554" width="20.42578125" customWidth="1"/>
    <col min="12556" max="12556" width="11" customWidth="1"/>
    <col min="12558" max="12558" width="15.7109375" customWidth="1"/>
    <col min="12559" max="12559" width="10.85546875" customWidth="1"/>
    <col min="12560" max="12560" width="14" bestFit="1" customWidth="1"/>
    <col min="12561" max="12561" width="19.140625" customWidth="1"/>
    <col min="12563" max="12563" width="14.5703125" customWidth="1"/>
    <col min="12564" max="12564" width="13.7109375" customWidth="1"/>
    <col min="12565" max="12565" width="16.7109375" customWidth="1"/>
    <col min="12566" max="12566" width="17" customWidth="1"/>
    <col min="12810" max="12810" width="20.42578125" customWidth="1"/>
    <col min="12812" max="12812" width="11" customWidth="1"/>
    <col min="12814" max="12814" width="15.7109375" customWidth="1"/>
    <col min="12815" max="12815" width="10.85546875" customWidth="1"/>
    <col min="12816" max="12816" width="14" bestFit="1" customWidth="1"/>
    <col min="12817" max="12817" width="19.140625" customWidth="1"/>
    <col min="12819" max="12819" width="14.5703125" customWidth="1"/>
    <col min="12820" max="12820" width="13.7109375" customWidth="1"/>
    <col min="12821" max="12821" width="16.7109375" customWidth="1"/>
    <col min="12822" max="12822" width="17" customWidth="1"/>
    <col min="13066" max="13066" width="20.42578125" customWidth="1"/>
    <col min="13068" max="13068" width="11" customWidth="1"/>
    <col min="13070" max="13070" width="15.7109375" customWidth="1"/>
    <col min="13071" max="13071" width="10.85546875" customWidth="1"/>
    <col min="13072" max="13072" width="14" bestFit="1" customWidth="1"/>
    <col min="13073" max="13073" width="19.140625" customWidth="1"/>
    <col min="13075" max="13075" width="14.5703125" customWidth="1"/>
    <col min="13076" max="13076" width="13.7109375" customWidth="1"/>
    <col min="13077" max="13077" width="16.7109375" customWidth="1"/>
    <col min="13078" max="13078" width="17" customWidth="1"/>
    <col min="13322" max="13322" width="20.42578125" customWidth="1"/>
    <col min="13324" max="13324" width="11" customWidth="1"/>
    <col min="13326" max="13326" width="15.7109375" customWidth="1"/>
    <col min="13327" max="13327" width="10.85546875" customWidth="1"/>
    <col min="13328" max="13328" width="14" bestFit="1" customWidth="1"/>
    <col min="13329" max="13329" width="19.140625" customWidth="1"/>
    <col min="13331" max="13331" width="14.5703125" customWidth="1"/>
    <col min="13332" max="13332" width="13.7109375" customWidth="1"/>
    <col min="13333" max="13333" width="16.7109375" customWidth="1"/>
    <col min="13334" max="13334" width="17" customWidth="1"/>
    <col min="13578" max="13578" width="20.42578125" customWidth="1"/>
    <col min="13580" max="13580" width="11" customWidth="1"/>
    <col min="13582" max="13582" width="15.7109375" customWidth="1"/>
    <col min="13583" max="13583" width="10.85546875" customWidth="1"/>
    <col min="13584" max="13584" width="14" bestFit="1" customWidth="1"/>
    <col min="13585" max="13585" width="19.140625" customWidth="1"/>
    <col min="13587" max="13587" width="14.5703125" customWidth="1"/>
    <col min="13588" max="13588" width="13.7109375" customWidth="1"/>
    <col min="13589" max="13589" width="16.7109375" customWidth="1"/>
    <col min="13590" max="13590" width="17" customWidth="1"/>
    <col min="13834" max="13834" width="20.42578125" customWidth="1"/>
    <col min="13836" max="13836" width="11" customWidth="1"/>
    <col min="13838" max="13838" width="15.7109375" customWidth="1"/>
    <col min="13839" max="13839" width="10.85546875" customWidth="1"/>
    <col min="13840" max="13840" width="14" bestFit="1" customWidth="1"/>
    <col min="13841" max="13841" width="19.140625" customWidth="1"/>
    <col min="13843" max="13843" width="14.5703125" customWidth="1"/>
    <col min="13844" max="13844" width="13.7109375" customWidth="1"/>
    <col min="13845" max="13845" width="16.7109375" customWidth="1"/>
    <col min="13846" max="13846" width="17" customWidth="1"/>
    <col min="14090" max="14090" width="20.42578125" customWidth="1"/>
    <col min="14092" max="14092" width="11" customWidth="1"/>
    <col min="14094" max="14094" width="15.7109375" customWidth="1"/>
    <col min="14095" max="14095" width="10.85546875" customWidth="1"/>
    <col min="14096" max="14096" width="14" bestFit="1" customWidth="1"/>
    <col min="14097" max="14097" width="19.140625" customWidth="1"/>
    <col min="14099" max="14099" width="14.5703125" customWidth="1"/>
    <col min="14100" max="14100" width="13.7109375" customWidth="1"/>
    <col min="14101" max="14101" width="16.7109375" customWidth="1"/>
    <col min="14102" max="14102" width="17" customWidth="1"/>
    <col min="14346" max="14346" width="20.42578125" customWidth="1"/>
    <col min="14348" max="14348" width="11" customWidth="1"/>
    <col min="14350" max="14350" width="15.7109375" customWidth="1"/>
    <col min="14351" max="14351" width="10.85546875" customWidth="1"/>
    <col min="14352" max="14352" width="14" bestFit="1" customWidth="1"/>
    <col min="14353" max="14353" width="19.140625" customWidth="1"/>
    <col min="14355" max="14355" width="14.5703125" customWidth="1"/>
    <col min="14356" max="14356" width="13.7109375" customWidth="1"/>
    <col min="14357" max="14357" width="16.7109375" customWidth="1"/>
    <col min="14358" max="14358" width="17" customWidth="1"/>
    <col min="14602" max="14602" width="20.42578125" customWidth="1"/>
    <col min="14604" max="14604" width="11" customWidth="1"/>
    <col min="14606" max="14606" width="15.7109375" customWidth="1"/>
    <col min="14607" max="14607" width="10.85546875" customWidth="1"/>
    <col min="14608" max="14608" width="14" bestFit="1" customWidth="1"/>
    <col min="14609" max="14609" width="19.140625" customWidth="1"/>
    <col min="14611" max="14611" width="14.5703125" customWidth="1"/>
    <col min="14612" max="14612" width="13.7109375" customWidth="1"/>
    <col min="14613" max="14613" width="16.7109375" customWidth="1"/>
    <col min="14614" max="14614" width="17" customWidth="1"/>
    <col min="14858" max="14858" width="20.42578125" customWidth="1"/>
    <col min="14860" max="14860" width="11" customWidth="1"/>
    <col min="14862" max="14862" width="15.7109375" customWidth="1"/>
    <col min="14863" max="14863" width="10.85546875" customWidth="1"/>
    <col min="14864" max="14864" width="14" bestFit="1" customWidth="1"/>
    <col min="14865" max="14865" width="19.140625" customWidth="1"/>
    <col min="14867" max="14867" width="14.5703125" customWidth="1"/>
    <col min="14868" max="14868" width="13.7109375" customWidth="1"/>
    <col min="14869" max="14869" width="16.7109375" customWidth="1"/>
    <col min="14870" max="14870" width="17" customWidth="1"/>
    <col min="15114" max="15114" width="20.42578125" customWidth="1"/>
    <col min="15116" max="15116" width="11" customWidth="1"/>
    <col min="15118" max="15118" width="15.7109375" customWidth="1"/>
    <col min="15119" max="15119" width="10.85546875" customWidth="1"/>
    <col min="15120" max="15120" width="14" bestFit="1" customWidth="1"/>
    <col min="15121" max="15121" width="19.140625" customWidth="1"/>
    <col min="15123" max="15123" width="14.5703125" customWidth="1"/>
    <col min="15124" max="15124" width="13.7109375" customWidth="1"/>
    <col min="15125" max="15125" width="16.7109375" customWidth="1"/>
    <col min="15126" max="15126" width="17" customWidth="1"/>
    <col min="15370" max="15370" width="20.42578125" customWidth="1"/>
    <col min="15372" max="15372" width="11" customWidth="1"/>
    <col min="15374" max="15374" width="15.7109375" customWidth="1"/>
    <col min="15375" max="15375" width="10.85546875" customWidth="1"/>
    <col min="15376" max="15376" width="14" bestFit="1" customWidth="1"/>
    <col min="15377" max="15377" width="19.140625" customWidth="1"/>
    <col min="15379" max="15379" width="14.5703125" customWidth="1"/>
    <col min="15380" max="15380" width="13.7109375" customWidth="1"/>
    <col min="15381" max="15381" width="16.7109375" customWidth="1"/>
    <col min="15382" max="15382" width="17" customWidth="1"/>
    <col min="15626" max="15626" width="20.42578125" customWidth="1"/>
    <col min="15628" max="15628" width="11" customWidth="1"/>
    <col min="15630" max="15630" width="15.7109375" customWidth="1"/>
    <col min="15631" max="15631" width="10.85546875" customWidth="1"/>
    <col min="15632" max="15632" width="14" bestFit="1" customWidth="1"/>
    <col min="15633" max="15633" width="19.140625" customWidth="1"/>
    <col min="15635" max="15635" width="14.5703125" customWidth="1"/>
    <col min="15636" max="15636" width="13.7109375" customWidth="1"/>
    <col min="15637" max="15637" width="16.7109375" customWidth="1"/>
    <col min="15638" max="15638" width="17" customWidth="1"/>
    <col min="15882" max="15882" width="20.42578125" customWidth="1"/>
    <col min="15884" max="15884" width="11" customWidth="1"/>
    <col min="15886" max="15886" width="15.7109375" customWidth="1"/>
    <col min="15887" max="15887" width="10.85546875" customWidth="1"/>
    <col min="15888" max="15888" width="14" bestFit="1" customWidth="1"/>
    <col min="15889" max="15889" width="19.140625" customWidth="1"/>
    <col min="15891" max="15891" width="14.5703125" customWidth="1"/>
    <col min="15892" max="15892" width="13.7109375" customWidth="1"/>
    <col min="15893" max="15893" width="16.7109375" customWidth="1"/>
    <col min="15894" max="15894" width="17" customWidth="1"/>
    <col min="16138" max="16138" width="20.42578125" customWidth="1"/>
    <col min="16140" max="16140" width="11" customWidth="1"/>
    <col min="16142" max="16142" width="15.7109375" customWidth="1"/>
    <col min="16143" max="16143" width="10.85546875" customWidth="1"/>
    <col min="16144" max="16144" width="14" bestFit="1" customWidth="1"/>
    <col min="16145" max="16145" width="19.140625" customWidth="1"/>
    <col min="16147" max="16147" width="14.5703125" customWidth="1"/>
    <col min="16148" max="16148" width="13.7109375" customWidth="1"/>
    <col min="16149" max="16149" width="16.7109375" customWidth="1"/>
    <col min="16150" max="16150" width="17" customWidth="1"/>
  </cols>
  <sheetData>
    <row r="2" spans="1:31" x14ac:dyDescent="0.25">
      <c r="M2" s="31"/>
    </row>
    <row r="3" spans="1:31" ht="24" customHeight="1" x14ac:dyDescent="0.25">
      <c r="A3" s="559" t="s">
        <v>159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</row>
    <row r="4" spans="1:31" ht="18.75" customHeight="1" x14ac:dyDescent="0.25">
      <c r="B4" s="56"/>
      <c r="G4" s="183"/>
      <c r="L4" s="183"/>
    </row>
    <row r="5" spans="1:31" ht="45.75" customHeight="1" x14ac:dyDescent="0.25">
      <c r="G5" s="184"/>
      <c r="H5" s="562" t="s">
        <v>158</v>
      </c>
      <c r="I5" s="563"/>
      <c r="J5" s="563"/>
      <c r="K5" s="563"/>
      <c r="L5" s="184"/>
      <c r="M5" s="564" t="s">
        <v>167</v>
      </c>
      <c r="N5" s="565"/>
      <c r="O5" s="565"/>
      <c r="P5" s="565"/>
      <c r="Q5" s="565"/>
      <c r="W5" s="561"/>
      <c r="X5" s="561"/>
      <c r="Y5" s="561"/>
      <c r="Z5" s="561"/>
      <c r="AB5" s="561"/>
      <c r="AC5" s="561"/>
      <c r="AD5" s="561"/>
      <c r="AE5" s="561"/>
    </row>
    <row r="6" spans="1:31" ht="75.75" customHeight="1" thickBot="1" x14ac:dyDescent="0.3">
      <c r="C6" s="562" t="s">
        <v>141</v>
      </c>
      <c r="D6" s="563"/>
      <c r="E6" s="563"/>
      <c r="F6" s="563"/>
      <c r="G6" s="16"/>
      <c r="H6" s="180" t="s">
        <v>136</v>
      </c>
      <c r="I6" s="180" t="s">
        <v>140</v>
      </c>
      <c r="J6" s="180" t="s">
        <v>135</v>
      </c>
      <c r="K6" s="180" t="s">
        <v>165</v>
      </c>
      <c r="L6" s="16"/>
      <c r="M6" s="565"/>
      <c r="N6" s="565"/>
      <c r="O6" s="565"/>
      <c r="P6" s="565"/>
      <c r="Q6" s="565"/>
      <c r="W6" s="561"/>
      <c r="X6" s="561"/>
      <c r="Y6" s="561"/>
      <c r="Z6" s="561"/>
      <c r="AB6" s="561"/>
      <c r="AC6" s="561"/>
      <c r="AD6" s="561"/>
      <c r="AE6" s="561"/>
    </row>
    <row r="7" spans="1:31" ht="51" customHeight="1" thickBot="1" x14ac:dyDescent="0.3">
      <c r="A7" s="273" t="s">
        <v>81</v>
      </c>
      <c r="B7" s="274" t="s">
        <v>134</v>
      </c>
      <c r="C7" s="182" t="s">
        <v>133</v>
      </c>
      <c r="D7" s="186" t="s">
        <v>137</v>
      </c>
      <c r="E7" s="265" t="s">
        <v>138</v>
      </c>
      <c r="F7" s="551" t="s">
        <v>139</v>
      </c>
      <c r="G7" s="184"/>
      <c r="H7" s="268">
        <v>0</v>
      </c>
      <c r="I7" s="269">
        <v>0</v>
      </c>
      <c r="J7" s="270">
        <v>0</v>
      </c>
      <c r="K7" s="271">
        <v>1</v>
      </c>
      <c r="L7" s="272"/>
      <c r="M7" s="282" t="s">
        <v>83</v>
      </c>
      <c r="N7" s="278" t="s">
        <v>84</v>
      </c>
      <c r="O7" s="279" t="s">
        <v>163</v>
      </c>
      <c r="P7" s="280" t="s">
        <v>86</v>
      </c>
      <c r="Q7" s="272"/>
      <c r="R7" s="438" t="s">
        <v>87</v>
      </c>
      <c r="S7" s="275" t="s">
        <v>84</v>
      </c>
      <c r="T7" s="276" t="s">
        <v>164</v>
      </c>
      <c r="U7" s="277" t="s">
        <v>86</v>
      </c>
      <c r="W7" s="436" t="s">
        <v>142</v>
      </c>
      <c r="X7" s="275" t="s">
        <v>84</v>
      </c>
      <c r="Y7" s="276" t="s">
        <v>164</v>
      </c>
      <c r="Z7" s="273" t="s">
        <v>86</v>
      </c>
      <c r="AA7" s="422" t="s">
        <v>199</v>
      </c>
      <c r="AB7" s="422" t="s">
        <v>200</v>
      </c>
      <c r="AC7" s="422" t="s">
        <v>201</v>
      </c>
      <c r="AD7" s="422" t="s">
        <v>206</v>
      </c>
      <c r="AE7" s="35"/>
    </row>
    <row r="8" spans="1:31" x14ac:dyDescent="0.25">
      <c r="A8" s="432" t="s">
        <v>44</v>
      </c>
      <c r="B8" s="57" t="s">
        <v>88</v>
      </c>
      <c r="C8" s="181">
        <f>'QDE Integral'!E8</f>
        <v>8</v>
      </c>
      <c r="D8" s="185">
        <f>'QDE Parcial Manhã'!E7</f>
        <v>8</v>
      </c>
      <c r="E8" s="266">
        <f>'QDE Parcial Tarde'!E7</f>
        <v>8</v>
      </c>
      <c r="F8" s="533">
        <f>'QDE Berçário I'!E8</f>
        <v>0</v>
      </c>
      <c r="G8" s="55"/>
      <c r="H8" s="264">
        <f t="shared" ref="H8:H51" si="0">C8*$H$7</f>
        <v>0</v>
      </c>
      <c r="I8" s="185">
        <f t="shared" ref="I8:I51" si="1">D8*$I$7</f>
        <v>0</v>
      </c>
      <c r="J8" s="266">
        <f t="shared" ref="J8:J51" si="2">E8*$J$7</f>
        <v>0</v>
      </c>
      <c r="K8" s="267">
        <f t="shared" ref="K8:K51" si="3">F8*$K$7</f>
        <v>0</v>
      </c>
      <c r="M8" s="281">
        <f>(H8+I8+J8+K8)/400</f>
        <v>0</v>
      </c>
      <c r="N8" s="14" t="s">
        <v>125</v>
      </c>
      <c r="O8" s="286"/>
      <c r="P8" s="27">
        <f>M8*O8</f>
        <v>0</v>
      </c>
      <c r="R8" s="439">
        <f t="shared" ref="R8:R52" si="4">M8*4</f>
        <v>0</v>
      </c>
      <c r="S8" s="14" t="s">
        <v>38</v>
      </c>
      <c r="T8" s="286"/>
      <c r="U8" s="27">
        <f t="shared" ref="U8:U52" si="5">R8*T8</f>
        <v>0</v>
      </c>
      <c r="W8" s="437">
        <f>R8*10</f>
        <v>0</v>
      </c>
      <c r="X8" s="14" t="s">
        <v>38</v>
      </c>
      <c r="Y8" s="286"/>
      <c r="Z8" s="421">
        <f t="shared" ref="Z8:Z52" si="6">W8*Y8</f>
        <v>0</v>
      </c>
      <c r="AA8" s="423"/>
      <c r="AB8" s="425">
        <f>AA8*Y8</f>
        <v>0</v>
      </c>
      <c r="AC8" s="423"/>
      <c r="AD8" s="424">
        <f>AC8*Y8</f>
        <v>0</v>
      </c>
      <c r="AE8" s="12"/>
    </row>
    <row r="9" spans="1:31" x14ac:dyDescent="0.25">
      <c r="A9" s="433" t="s">
        <v>28</v>
      </c>
      <c r="B9" s="57" t="s">
        <v>88</v>
      </c>
      <c r="C9" s="181">
        <f>'QDE Integral'!E9</f>
        <v>45</v>
      </c>
      <c r="D9" s="185">
        <f>'QDE Parcial Manhã'!E8</f>
        <v>15</v>
      </c>
      <c r="E9" s="266">
        <f>'QDE Parcial Tarde'!E8</f>
        <v>60</v>
      </c>
      <c r="F9" s="533">
        <f>'QDE Berçário I'!E9</f>
        <v>10</v>
      </c>
      <c r="G9" s="55"/>
      <c r="H9" s="264">
        <f t="shared" si="0"/>
        <v>0</v>
      </c>
      <c r="I9" s="185">
        <f t="shared" si="1"/>
        <v>0</v>
      </c>
      <c r="J9" s="266">
        <f t="shared" si="2"/>
        <v>0</v>
      </c>
      <c r="K9" s="267">
        <f t="shared" si="3"/>
        <v>10</v>
      </c>
      <c r="M9" s="281">
        <f>(H9+I9+J9+K9)/1000</f>
        <v>0.01</v>
      </c>
      <c r="N9" s="14" t="s">
        <v>25</v>
      </c>
      <c r="O9" s="286"/>
      <c r="P9" s="27">
        <f t="shared" ref="P9:P52" si="7">M9*O9</f>
        <v>0</v>
      </c>
      <c r="R9" s="439">
        <f t="shared" si="4"/>
        <v>0.04</v>
      </c>
      <c r="S9" s="14" t="s">
        <v>25</v>
      </c>
      <c r="T9" s="286"/>
      <c r="U9" s="27">
        <f t="shared" si="5"/>
        <v>0</v>
      </c>
      <c r="W9" s="437">
        <f t="shared" ref="W9:W52" si="8">R9*10</f>
        <v>0.4</v>
      </c>
      <c r="X9" s="14" t="s">
        <v>25</v>
      </c>
      <c r="Y9" s="286"/>
      <c r="Z9" s="421">
        <f t="shared" si="6"/>
        <v>0</v>
      </c>
      <c r="AA9" s="423"/>
      <c r="AB9" s="425">
        <f t="shared" ref="AB9:AB51" si="9">AA9*Y9</f>
        <v>0</v>
      </c>
      <c r="AC9" s="423"/>
      <c r="AD9" s="424">
        <f t="shared" ref="AD9:AD51" si="10">AC9*Y9</f>
        <v>0</v>
      </c>
      <c r="AE9" s="12"/>
    </row>
    <row r="10" spans="1:31" x14ac:dyDescent="0.25">
      <c r="A10" s="432" t="s">
        <v>3</v>
      </c>
      <c r="B10" s="57" t="s">
        <v>88</v>
      </c>
      <c r="C10" s="181">
        <f>'QDE Integral'!E10</f>
        <v>10.029999999999999</v>
      </c>
      <c r="D10" s="185">
        <f>'QDE Parcial Manhã'!E9</f>
        <v>7.08</v>
      </c>
      <c r="E10" s="266">
        <f>'QDE Parcial Tarde'!E9</f>
        <v>2.9499999999999997</v>
      </c>
      <c r="F10" s="533">
        <f>'QDE Berçário I'!E10</f>
        <v>8.4960000000000022</v>
      </c>
      <c r="G10" s="55"/>
      <c r="H10" s="264">
        <f t="shared" si="0"/>
        <v>0</v>
      </c>
      <c r="I10" s="185">
        <f t="shared" si="1"/>
        <v>0</v>
      </c>
      <c r="J10" s="266">
        <f t="shared" si="2"/>
        <v>0</v>
      </c>
      <c r="K10" s="267">
        <f t="shared" si="3"/>
        <v>8.4960000000000022</v>
      </c>
      <c r="M10" s="281">
        <f t="shared" ref="M10:M51" si="11">(H10+I10+J10+K10)/1000</f>
        <v>8.4960000000000018E-3</v>
      </c>
      <c r="N10" s="14" t="s">
        <v>25</v>
      </c>
      <c r="O10" s="286"/>
      <c r="P10" s="27">
        <f t="shared" si="7"/>
        <v>0</v>
      </c>
      <c r="R10" s="439">
        <f t="shared" si="4"/>
        <v>3.3984000000000007E-2</v>
      </c>
      <c r="S10" s="14" t="s">
        <v>25</v>
      </c>
      <c r="T10" s="286"/>
      <c r="U10" s="27">
        <f t="shared" si="5"/>
        <v>0</v>
      </c>
      <c r="W10" s="437">
        <f t="shared" si="8"/>
        <v>0.33984000000000009</v>
      </c>
      <c r="X10" s="14" t="s">
        <v>25</v>
      </c>
      <c r="Y10" s="286"/>
      <c r="Z10" s="421">
        <f t="shared" si="6"/>
        <v>0</v>
      </c>
      <c r="AA10" s="423"/>
      <c r="AB10" s="425">
        <f t="shared" si="9"/>
        <v>0</v>
      </c>
      <c r="AC10" s="423"/>
      <c r="AD10" s="424">
        <f t="shared" si="10"/>
        <v>0</v>
      </c>
      <c r="AE10" s="12"/>
    </row>
    <row r="11" spans="1:31" x14ac:dyDescent="0.25">
      <c r="A11" s="433" t="s">
        <v>32</v>
      </c>
      <c r="B11" s="57" t="s">
        <v>88</v>
      </c>
      <c r="C11" s="181">
        <f>'QDE Integral'!E11</f>
        <v>1</v>
      </c>
      <c r="D11" s="185">
        <f>'QDE Parcial Manhã'!E10</f>
        <v>1</v>
      </c>
      <c r="E11" s="266">
        <f>'QDE Parcial Tarde'!E10</f>
        <v>0</v>
      </c>
      <c r="F11" s="533">
        <f>'QDE Berçário I'!E11</f>
        <v>0</v>
      </c>
      <c r="G11" s="464"/>
      <c r="H11" s="264">
        <f t="shared" si="0"/>
        <v>0</v>
      </c>
      <c r="I11" s="185">
        <f t="shared" si="1"/>
        <v>0</v>
      </c>
      <c r="J11" s="266">
        <f t="shared" si="2"/>
        <v>0</v>
      </c>
      <c r="K11" s="267">
        <f t="shared" si="3"/>
        <v>0</v>
      </c>
      <c r="M11" s="281">
        <f>(H11+I11+J11+K11)/200</f>
        <v>0</v>
      </c>
      <c r="N11" s="14" t="s">
        <v>215</v>
      </c>
      <c r="O11" s="286"/>
      <c r="P11" s="27">
        <f t="shared" si="7"/>
        <v>0</v>
      </c>
      <c r="R11" s="439">
        <f t="shared" si="4"/>
        <v>0</v>
      </c>
      <c r="S11" s="14" t="s">
        <v>215</v>
      </c>
      <c r="T11" s="286"/>
      <c r="U11" s="27">
        <f t="shared" si="5"/>
        <v>0</v>
      </c>
      <c r="W11" s="437">
        <f t="shared" si="8"/>
        <v>0</v>
      </c>
      <c r="X11" s="14" t="s">
        <v>215</v>
      </c>
      <c r="Y11" s="286"/>
      <c r="Z11" s="421">
        <f t="shared" si="6"/>
        <v>0</v>
      </c>
      <c r="AA11" s="423"/>
      <c r="AB11" s="425">
        <f t="shared" ref="AB11" si="12">AA11*Y11</f>
        <v>0</v>
      </c>
      <c r="AC11" s="423"/>
      <c r="AD11" s="424">
        <f t="shared" ref="AD11" si="13">AC11*Y11</f>
        <v>0</v>
      </c>
      <c r="AE11" s="12"/>
    </row>
    <row r="12" spans="1:31" x14ac:dyDescent="0.25">
      <c r="A12" s="433" t="s">
        <v>49</v>
      </c>
      <c r="B12" s="57" t="s">
        <v>88</v>
      </c>
      <c r="C12" s="181">
        <f>'QDE Integral'!E12</f>
        <v>100</v>
      </c>
      <c r="D12" s="185">
        <f>'QDE Parcial Manhã'!E11</f>
        <v>100</v>
      </c>
      <c r="E12" s="266">
        <f>'QDE Parcial Tarde'!E11</f>
        <v>0</v>
      </c>
      <c r="F12" s="533">
        <f>'QDE Berçário I'!E12</f>
        <v>0</v>
      </c>
      <c r="G12" s="55"/>
      <c r="H12" s="264">
        <f t="shared" si="0"/>
        <v>0</v>
      </c>
      <c r="I12" s="185">
        <f t="shared" si="1"/>
        <v>0</v>
      </c>
      <c r="J12" s="266">
        <f t="shared" si="2"/>
        <v>0</v>
      </c>
      <c r="K12" s="267">
        <f t="shared" si="3"/>
        <v>0</v>
      </c>
      <c r="M12" s="281">
        <f t="shared" si="11"/>
        <v>0</v>
      </c>
      <c r="N12" s="14" t="s">
        <v>25</v>
      </c>
      <c r="O12" s="286"/>
      <c r="P12" s="27">
        <f t="shared" si="7"/>
        <v>0</v>
      </c>
      <c r="R12" s="439">
        <f t="shared" si="4"/>
        <v>0</v>
      </c>
      <c r="S12" s="14" t="s">
        <v>25</v>
      </c>
      <c r="T12" s="286"/>
      <c r="U12" s="27">
        <f t="shared" si="5"/>
        <v>0</v>
      </c>
      <c r="W12" s="437">
        <f t="shared" si="8"/>
        <v>0</v>
      </c>
      <c r="X12" s="14" t="s">
        <v>25</v>
      </c>
      <c r="Y12" s="286"/>
      <c r="Z12" s="421">
        <f t="shared" si="6"/>
        <v>0</v>
      </c>
      <c r="AA12" s="423"/>
      <c r="AB12" s="425">
        <f t="shared" si="9"/>
        <v>0</v>
      </c>
      <c r="AC12" s="423"/>
      <c r="AD12" s="424">
        <f t="shared" si="10"/>
        <v>0</v>
      </c>
      <c r="AE12" s="12"/>
    </row>
    <row r="13" spans="1:31" x14ac:dyDescent="0.25">
      <c r="A13" s="433" t="s">
        <v>63</v>
      </c>
      <c r="B13" s="57" t="s">
        <v>88</v>
      </c>
      <c r="C13" s="181">
        <f>'QDE Integral'!E13</f>
        <v>25</v>
      </c>
      <c r="D13" s="185">
        <f>'QDE Parcial Manhã'!E12</f>
        <v>0</v>
      </c>
      <c r="E13" s="266">
        <f>'QDE Parcial Tarde'!E12</f>
        <v>25</v>
      </c>
      <c r="F13" s="533">
        <f>'QDE Berçário I'!E13</f>
        <v>130</v>
      </c>
      <c r="G13" s="55"/>
      <c r="H13" s="264">
        <f t="shared" si="0"/>
        <v>0</v>
      </c>
      <c r="I13" s="185">
        <f t="shared" si="1"/>
        <v>0</v>
      </c>
      <c r="J13" s="266">
        <f t="shared" si="2"/>
        <v>0</v>
      </c>
      <c r="K13" s="267">
        <f t="shared" si="3"/>
        <v>130</v>
      </c>
      <c r="M13" s="281">
        <f t="shared" si="11"/>
        <v>0.13</v>
      </c>
      <c r="N13" s="14" t="s">
        <v>25</v>
      </c>
      <c r="O13" s="286"/>
      <c r="P13" s="27">
        <f t="shared" si="7"/>
        <v>0</v>
      </c>
      <c r="R13" s="439">
        <f t="shared" si="4"/>
        <v>0.52</v>
      </c>
      <c r="S13" s="14" t="s">
        <v>25</v>
      </c>
      <c r="T13" s="286"/>
      <c r="U13" s="27">
        <f t="shared" si="5"/>
        <v>0</v>
      </c>
      <c r="W13" s="437">
        <f t="shared" si="8"/>
        <v>5.2</v>
      </c>
      <c r="X13" s="14" t="s">
        <v>25</v>
      </c>
      <c r="Y13" s="286"/>
      <c r="Z13" s="421">
        <f t="shared" si="6"/>
        <v>0</v>
      </c>
      <c r="AA13" s="423"/>
      <c r="AB13" s="425">
        <f t="shared" si="9"/>
        <v>0</v>
      </c>
      <c r="AC13" s="423"/>
      <c r="AD13" s="424">
        <f t="shared" si="10"/>
        <v>0</v>
      </c>
      <c r="AE13" s="12"/>
    </row>
    <row r="14" spans="1:31" x14ac:dyDescent="0.25">
      <c r="A14" s="433" t="s">
        <v>27</v>
      </c>
      <c r="B14" s="57" t="s">
        <v>88</v>
      </c>
      <c r="C14" s="181">
        <f>'QDE Integral'!E14</f>
        <v>325.5</v>
      </c>
      <c r="D14" s="185">
        <f>'QDE Parcial Manhã'!E13</f>
        <v>232.5</v>
      </c>
      <c r="E14" s="266">
        <f>'QDE Parcial Tarde'!E13</f>
        <v>217</v>
      </c>
      <c r="F14" s="533">
        <f>'QDE Berçário I'!E14</f>
        <v>217</v>
      </c>
      <c r="G14" s="55"/>
      <c r="H14" s="264">
        <f t="shared" si="0"/>
        <v>0</v>
      </c>
      <c r="I14" s="185">
        <f t="shared" si="1"/>
        <v>0</v>
      </c>
      <c r="J14" s="266">
        <f t="shared" si="2"/>
        <v>0</v>
      </c>
      <c r="K14" s="267">
        <f t="shared" si="3"/>
        <v>217</v>
      </c>
      <c r="M14" s="281">
        <f t="shared" si="11"/>
        <v>0.217</v>
      </c>
      <c r="N14" s="14" t="s">
        <v>25</v>
      </c>
      <c r="O14" s="286"/>
      <c r="P14" s="27">
        <f t="shared" si="7"/>
        <v>0</v>
      </c>
      <c r="R14" s="439">
        <f t="shared" si="4"/>
        <v>0.86799999999999999</v>
      </c>
      <c r="S14" s="14" t="s">
        <v>25</v>
      </c>
      <c r="T14" s="286"/>
      <c r="U14" s="27">
        <f t="shared" si="5"/>
        <v>0</v>
      </c>
      <c r="W14" s="437">
        <f t="shared" si="8"/>
        <v>8.68</v>
      </c>
      <c r="X14" s="14" t="s">
        <v>25</v>
      </c>
      <c r="Y14" s="286"/>
      <c r="Z14" s="421">
        <f t="shared" si="6"/>
        <v>0</v>
      </c>
      <c r="AA14" s="423"/>
      <c r="AB14" s="425">
        <f t="shared" si="9"/>
        <v>0</v>
      </c>
      <c r="AC14" s="423"/>
      <c r="AD14" s="424">
        <f t="shared" si="10"/>
        <v>0</v>
      </c>
      <c r="AE14" s="12"/>
    </row>
    <row r="15" spans="1:31" x14ac:dyDescent="0.25">
      <c r="A15" s="432" t="s">
        <v>65</v>
      </c>
      <c r="B15" s="57" t="s">
        <v>88</v>
      </c>
      <c r="C15" s="181">
        <f>'QDE Integral'!E15</f>
        <v>54.449999999999996</v>
      </c>
      <c r="D15" s="185">
        <f>'QDE Parcial Manhã'!E14</f>
        <v>30.25</v>
      </c>
      <c r="E15" s="266">
        <f>'QDE Parcial Tarde'!E14</f>
        <v>24.2</v>
      </c>
      <c r="F15" s="533">
        <f>'QDE Berçário I'!E15</f>
        <v>36.299999999999997</v>
      </c>
      <c r="G15" s="55"/>
      <c r="H15" s="264">
        <f t="shared" si="0"/>
        <v>0</v>
      </c>
      <c r="I15" s="185">
        <f t="shared" si="1"/>
        <v>0</v>
      </c>
      <c r="J15" s="266">
        <f t="shared" si="2"/>
        <v>0</v>
      </c>
      <c r="K15" s="267">
        <f t="shared" si="3"/>
        <v>36.299999999999997</v>
      </c>
      <c r="M15" s="281">
        <f t="shared" si="11"/>
        <v>3.6299999999999999E-2</v>
      </c>
      <c r="N15" s="14" t="s">
        <v>25</v>
      </c>
      <c r="O15" s="286"/>
      <c r="P15" s="27">
        <f t="shared" si="7"/>
        <v>0</v>
      </c>
      <c r="R15" s="439">
        <f t="shared" si="4"/>
        <v>0.1452</v>
      </c>
      <c r="S15" s="14" t="s">
        <v>25</v>
      </c>
      <c r="T15" s="286"/>
      <c r="U15" s="27">
        <f t="shared" si="5"/>
        <v>0</v>
      </c>
      <c r="W15" s="437">
        <f t="shared" si="8"/>
        <v>1.452</v>
      </c>
      <c r="X15" s="14" t="s">
        <v>25</v>
      </c>
      <c r="Y15" s="286"/>
      <c r="Z15" s="421">
        <f t="shared" si="6"/>
        <v>0</v>
      </c>
      <c r="AA15" s="423"/>
      <c r="AB15" s="425">
        <f t="shared" si="9"/>
        <v>0</v>
      </c>
      <c r="AC15" s="423"/>
      <c r="AD15" s="424">
        <f t="shared" si="10"/>
        <v>0</v>
      </c>
      <c r="AE15" s="12"/>
    </row>
    <row r="16" spans="1:31" x14ac:dyDescent="0.25">
      <c r="A16" s="432" t="s">
        <v>52</v>
      </c>
      <c r="B16" s="57" t="s">
        <v>88</v>
      </c>
      <c r="C16" s="181">
        <f>'QDE Integral'!E16</f>
        <v>75.399999999999991</v>
      </c>
      <c r="D16" s="185">
        <f>'QDE Parcial Manhã'!E15</f>
        <v>46.4</v>
      </c>
      <c r="E16" s="266">
        <f>'QDE Parcial Tarde'!E15</f>
        <v>28.999999999999996</v>
      </c>
      <c r="F16" s="533">
        <f>'QDE Berçário I'!E16</f>
        <v>139.19999999999999</v>
      </c>
      <c r="G16" s="55"/>
      <c r="H16" s="264">
        <f t="shared" si="0"/>
        <v>0</v>
      </c>
      <c r="I16" s="185">
        <f t="shared" si="1"/>
        <v>0</v>
      </c>
      <c r="J16" s="266">
        <f t="shared" si="2"/>
        <v>0</v>
      </c>
      <c r="K16" s="267">
        <f t="shared" si="3"/>
        <v>139.19999999999999</v>
      </c>
      <c r="M16" s="281">
        <f t="shared" si="11"/>
        <v>0.13919999999999999</v>
      </c>
      <c r="N16" s="14" t="s">
        <v>25</v>
      </c>
      <c r="O16" s="286"/>
      <c r="P16" s="27">
        <f t="shared" si="7"/>
        <v>0</v>
      </c>
      <c r="R16" s="439">
        <f t="shared" si="4"/>
        <v>0.55679999999999996</v>
      </c>
      <c r="S16" s="14" t="s">
        <v>25</v>
      </c>
      <c r="T16" s="286"/>
      <c r="U16" s="27">
        <f t="shared" si="5"/>
        <v>0</v>
      </c>
      <c r="W16" s="437">
        <f t="shared" si="8"/>
        <v>5.5679999999999996</v>
      </c>
      <c r="X16" s="14" t="s">
        <v>25</v>
      </c>
      <c r="Y16" s="286"/>
      <c r="Z16" s="421">
        <f t="shared" si="6"/>
        <v>0</v>
      </c>
      <c r="AA16" s="423"/>
      <c r="AB16" s="425">
        <f t="shared" si="9"/>
        <v>0</v>
      </c>
      <c r="AC16" s="423"/>
      <c r="AD16" s="424">
        <f t="shared" si="10"/>
        <v>0</v>
      </c>
      <c r="AE16" s="12"/>
    </row>
    <row r="17" spans="1:31" x14ac:dyDescent="0.25">
      <c r="A17" s="434" t="s">
        <v>48</v>
      </c>
      <c r="B17" s="57" t="s">
        <v>90</v>
      </c>
      <c r="C17" s="181">
        <f>'QDE Integral'!E17</f>
        <v>150</v>
      </c>
      <c r="D17" s="185">
        <f>'QDE Parcial Manhã'!E16</f>
        <v>150</v>
      </c>
      <c r="E17" s="266">
        <f>'QDE Parcial Tarde'!E16</f>
        <v>150</v>
      </c>
      <c r="F17" s="533">
        <f>'QDE Berçário I'!E17</f>
        <v>0</v>
      </c>
      <c r="G17" s="55"/>
      <c r="H17" s="264">
        <f t="shared" si="0"/>
        <v>0</v>
      </c>
      <c r="I17" s="185">
        <f t="shared" si="1"/>
        <v>0</v>
      </c>
      <c r="J17" s="266">
        <f t="shared" si="2"/>
        <v>0</v>
      </c>
      <c r="K17" s="267">
        <f t="shared" si="3"/>
        <v>0</v>
      </c>
      <c r="M17" s="281">
        <f t="shared" si="11"/>
        <v>0</v>
      </c>
      <c r="N17" s="14" t="s">
        <v>37</v>
      </c>
      <c r="O17" s="286"/>
      <c r="P17" s="27">
        <f t="shared" si="7"/>
        <v>0</v>
      </c>
      <c r="R17" s="439">
        <f t="shared" si="4"/>
        <v>0</v>
      </c>
      <c r="S17" s="14" t="s">
        <v>37</v>
      </c>
      <c r="T17" s="286"/>
      <c r="U17" s="27">
        <f t="shared" si="5"/>
        <v>0</v>
      </c>
      <c r="W17" s="437">
        <f t="shared" si="8"/>
        <v>0</v>
      </c>
      <c r="X17" s="14" t="s">
        <v>37</v>
      </c>
      <c r="Y17" s="286"/>
      <c r="Z17" s="421">
        <f t="shared" si="6"/>
        <v>0</v>
      </c>
      <c r="AA17" s="423"/>
      <c r="AB17" s="425">
        <f t="shared" si="9"/>
        <v>0</v>
      </c>
      <c r="AC17" s="423"/>
      <c r="AD17" s="424">
        <f t="shared" si="10"/>
        <v>0</v>
      </c>
      <c r="AE17" s="12"/>
    </row>
    <row r="18" spans="1:31" s="283" customFormat="1" ht="15.75" x14ac:dyDescent="0.25">
      <c r="A18" s="432" t="s">
        <v>205</v>
      </c>
      <c r="B18" s="57" t="s">
        <v>88</v>
      </c>
      <c r="C18" s="181">
        <f>'QDE Integral'!E18</f>
        <v>21</v>
      </c>
      <c r="D18" s="185">
        <f>'QDE Parcial Manhã'!E17</f>
        <v>21</v>
      </c>
      <c r="E18" s="266">
        <f>'QDE Parcial Tarde'!E17</f>
        <v>21</v>
      </c>
      <c r="F18" s="533">
        <f>'QDE Berçário I'!E18</f>
        <v>0</v>
      </c>
      <c r="H18" s="264">
        <f t="shared" ref="H18:H19" si="14">C18*$H$7</f>
        <v>0</v>
      </c>
      <c r="I18" s="185">
        <f t="shared" ref="I18:I19" si="15">D18*$I$7</f>
        <v>0</v>
      </c>
      <c r="J18" s="266">
        <f t="shared" ref="J18:J19" si="16">E18*$J$7</f>
        <v>0</v>
      </c>
      <c r="K18" s="267">
        <f t="shared" ref="K18:K19" si="17">F18*$K$7</f>
        <v>0</v>
      </c>
      <c r="M18" s="281">
        <f>(H18+I18+J18+K18)/400</f>
        <v>0</v>
      </c>
      <c r="N18" s="14" t="s">
        <v>125</v>
      </c>
      <c r="O18" s="286"/>
      <c r="P18" s="27">
        <f t="shared" si="7"/>
        <v>0</v>
      </c>
      <c r="R18" s="439">
        <f t="shared" si="4"/>
        <v>0</v>
      </c>
      <c r="S18" s="14" t="s">
        <v>125</v>
      </c>
      <c r="T18" s="286"/>
      <c r="U18" s="27">
        <f t="shared" si="5"/>
        <v>0</v>
      </c>
      <c r="W18" s="437">
        <f t="shared" si="8"/>
        <v>0</v>
      </c>
      <c r="X18" s="14" t="s">
        <v>125</v>
      </c>
      <c r="Y18" s="286"/>
      <c r="Z18" s="421">
        <f t="shared" si="6"/>
        <v>0</v>
      </c>
      <c r="AA18" s="423"/>
      <c r="AB18" s="425">
        <f t="shared" ref="AB18:AB19" si="18">AA18*Y18</f>
        <v>0</v>
      </c>
      <c r="AC18" s="423"/>
      <c r="AD18" s="424">
        <f t="shared" ref="AD18:AD19" si="19">AC18*Y18</f>
        <v>0</v>
      </c>
      <c r="AE18" s="285"/>
    </row>
    <row r="19" spans="1:31" x14ac:dyDescent="0.25">
      <c r="A19" s="432" t="s">
        <v>198</v>
      </c>
      <c r="B19" s="57" t="s">
        <v>88</v>
      </c>
      <c r="C19" s="181">
        <f>'QDE Integral'!E19</f>
        <v>15</v>
      </c>
      <c r="D19" s="185">
        <f>'QDE Parcial Manhã'!E18</f>
        <v>15</v>
      </c>
      <c r="E19" s="266">
        <f>'QDE Parcial Tarde'!E18</f>
        <v>15</v>
      </c>
      <c r="F19" s="533">
        <f>'QDE Berçário I'!E19</f>
        <v>0</v>
      </c>
      <c r="H19" s="264">
        <f t="shared" si="14"/>
        <v>0</v>
      </c>
      <c r="I19" s="185">
        <f t="shared" si="15"/>
        <v>0</v>
      </c>
      <c r="J19" s="266">
        <f t="shared" si="16"/>
        <v>0</v>
      </c>
      <c r="K19" s="267">
        <f t="shared" si="17"/>
        <v>0</v>
      </c>
      <c r="M19" s="281">
        <f>(H19+I19+J19+K19)/400</f>
        <v>0</v>
      </c>
      <c r="N19" s="14" t="s">
        <v>125</v>
      </c>
      <c r="O19" s="286"/>
      <c r="P19" s="27">
        <f t="shared" si="7"/>
        <v>0</v>
      </c>
      <c r="R19" s="439">
        <f t="shared" si="4"/>
        <v>0</v>
      </c>
      <c r="S19" s="14" t="s">
        <v>125</v>
      </c>
      <c r="T19" s="286"/>
      <c r="U19" s="27">
        <f t="shared" si="5"/>
        <v>0</v>
      </c>
      <c r="W19" s="437">
        <f t="shared" si="8"/>
        <v>0</v>
      </c>
      <c r="X19" s="14" t="s">
        <v>125</v>
      </c>
      <c r="Y19" s="286"/>
      <c r="Z19" s="421">
        <f t="shared" si="6"/>
        <v>0</v>
      </c>
      <c r="AA19" s="423"/>
      <c r="AB19" s="425">
        <f t="shared" si="18"/>
        <v>0</v>
      </c>
      <c r="AC19" s="423"/>
      <c r="AD19" s="424">
        <f t="shared" si="19"/>
        <v>0</v>
      </c>
    </row>
    <row r="20" spans="1:31" x14ac:dyDescent="0.25">
      <c r="A20" s="434" t="s">
        <v>143</v>
      </c>
      <c r="B20" s="1" t="s">
        <v>88</v>
      </c>
      <c r="C20" s="181">
        <f>'QDE Integral'!E20</f>
        <v>28.499999999999996</v>
      </c>
      <c r="D20" s="185">
        <f>'QDE Parcial Manhã'!E19</f>
        <v>28.499999999999996</v>
      </c>
      <c r="E20" s="266">
        <f>'QDE Parcial Tarde'!E19</f>
        <v>0</v>
      </c>
      <c r="F20" s="533">
        <f>'QDE Berçário I'!E20</f>
        <v>0</v>
      </c>
      <c r="G20" s="36"/>
      <c r="H20" s="264">
        <f>C20*$H$7</f>
        <v>0</v>
      </c>
      <c r="I20" s="185">
        <f>D20*$I$7</f>
        <v>0</v>
      </c>
      <c r="J20" s="266">
        <f>E20*$J$7</f>
        <v>0</v>
      </c>
      <c r="K20" s="267">
        <f>F20*$K$7</f>
        <v>0</v>
      </c>
      <c r="L20" s="36"/>
      <c r="M20" s="281">
        <f>(H20+I20+J20+K20)/1000</f>
        <v>0</v>
      </c>
      <c r="N20" s="14" t="s">
        <v>25</v>
      </c>
      <c r="O20" s="286"/>
      <c r="P20" s="27">
        <f t="shared" si="7"/>
        <v>0</v>
      </c>
      <c r="R20" s="439">
        <f t="shared" si="4"/>
        <v>0</v>
      </c>
      <c r="S20" s="14" t="s">
        <v>25</v>
      </c>
      <c r="T20" s="286"/>
      <c r="U20" s="27">
        <f t="shared" si="5"/>
        <v>0</v>
      </c>
      <c r="V20" s="13"/>
      <c r="W20" s="437">
        <f t="shared" si="8"/>
        <v>0</v>
      </c>
      <c r="X20" s="14" t="s">
        <v>25</v>
      </c>
      <c r="Y20" s="286"/>
      <c r="Z20" s="421">
        <f t="shared" si="6"/>
        <v>0</v>
      </c>
      <c r="AA20" s="423"/>
      <c r="AB20" s="425">
        <f>AA20*Y20</f>
        <v>0</v>
      </c>
      <c r="AC20" s="423"/>
      <c r="AD20" s="424">
        <f>AC20*Y20</f>
        <v>0</v>
      </c>
      <c r="AE20"/>
    </row>
    <row r="21" spans="1:31" x14ac:dyDescent="0.25">
      <c r="A21" s="432" t="s">
        <v>106</v>
      </c>
      <c r="B21" s="57" t="s">
        <v>88</v>
      </c>
      <c r="C21" s="181">
        <f>'QDE Integral'!E21</f>
        <v>50</v>
      </c>
      <c r="D21" s="185">
        <f>'QDE Parcial Manhã'!E20</f>
        <v>0</v>
      </c>
      <c r="E21" s="266">
        <f>'QDE Parcial Tarde'!E20</f>
        <v>50</v>
      </c>
      <c r="F21" s="533">
        <f>'QDE Berçário I'!E21</f>
        <v>30</v>
      </c>
      <c r="G21" s="55"/>
      <c r="H21" s="264">
        <f t="shared" si="0"/>
        <v>0</v>
      </c>
      <c r="I21" s="185">
        <f t="shared" si="1"/>
        <v>0</v>
      </c>
      <c r="J21" s="266">
        <f t="shared" si="2"/>
        <v>0</v>
      </c>
      <c r="K21" s="267">
        <f t="shared" si="3"/>
        <v>30</v>
      </c>
      <c r="M21" s="281">
        <f t="shared" si="11"/>
        <v>0.03</v>
      </c>
      <c r="N21" s="14" t="s">
        <v>25</v>
      </c>
      <c r="O21" s="286"/>
      <c r="P21" s="27">
        <f t="shared" si="7"/>
        <v>0</v>
      </c>
      <c r="R21" s="439">
        <f t="shared" si="4"/>
        <v>0.12</v>
      </c>
      <c r="S21" s="14" t="s">
        <v>25</v>
      </c>
      <c r="T21" s="286"/>
      <c r="U21" s="27">
        <f t="shared" si="5"/>
        <v>0</v>
      </c>
      <c r="W21" s="437">
        <f t="shared" si="8"/>
        <v>1.2</v>
      </c>
      <c r="X21" s="14" t="s">
        <v>25</v>
      </c>
      <c r="Y21" s="286"/>
      <c r="Z21" s="421">
        <f t="shared" si="6"/>
        <v>0</v>
      </c>
      <c r="AA21" s="423"/>
      <c r="AB21" s="425">
        <f t="shared" si="9"/>
        <v>0</v>
      </c>
      <c r="AC21" s="423"/>
      <c r="AD21" s="424">
        <f t="shared" si="10"/>
        <v>0</v>
      </c>
      <c r="AE21" s="12"/>
    </row>
    <row r="22" spans="1:31" x14ac:dyDescent="0.25">
      <c r="A22" s="432" t="s">
        <v>2</v>
      </c>
      <c r="B22" s="57" t="s">
        <v>88</v>
      </c>
      <c r="C22" s="181">
        <f>'QDE Integral'!E22</f>
        <v>77.760000000000005</v>
      </c>
      <c r="D22" s="185">
        <f>'QDE Parcial Manhã'!E21</f>
        <v>56.160000000000004</v>
      </c>
      <c r="E22" s="266">
        <f>'QDE Parcial Tarde'!E21</f>
        <v>21.6</v>
      </c>
      <c r="F22" s="533">
        <f>'QDE Berçário I'!E22</f>
        <v>78.84</v>
      </c>
      <c r="G22" s="77"/>
      <c r="H22" s="264">
        <f t="shared" si="0"/>
        <v>0</v>
      </c>
      <c r="I22" s="185">
        <f t="shared" si="1"/>
        <v>0</v>
      </c>
      <c r="J22" s="266">
        <f t="shared" si="2"/>
        <v>0</v>
      </c>
      <c r="K22" s="267">
        <f t="shared" si="3"/>
        <v>78.84</v>
      </c>
      <c r="L22" s="16"/>
      <c r="M22" s="281">
        <f t="shared" si="11"/>
        <v>7.8840000000000007E-2</v>
      </c>
      <c r="N22" s="14" t="s">
        <v>25</v>
      </c>
      <c r="O22" s="286"/>
      <c r="P22" s="27">
        <f t="shared" si="7"/>
        <v>0</v>
      </c>
      <c r="R22" s="439">
        <f t="shared" si="4"/>
        <v>0.31536000000000003</v>
      </c>
      <c r="S22" s="14" t="s">
        <v>25</v>
      </c>
      <c r="T22" s="286"/>
      <c r="U22" s="27">
        <f t="shared" si="5"/>
        <v>0</v>
      </c>
      <c r="W22" s="437">
        <f t="shared" si="8"/>
        <v>3.1536000000000004</v>
      </c>
      <c r="X22" s="14" t="s">
        <v>25</v>
      </c>
      <c r="Y22" s="286"/>
      <c r="Z22" s="421">
        <f t="shared" si="6"/>
        <v>0</v>
      </c>
      <c r="AA22" s="423"/>
      <c r="AB22" s="425">
        <f t="shared" si="9"/>
        <v>0</v>
      </c>
      <c r="AC22" s="423"/>
      <c r="AD22" s="424">
        <f t="shared" si="10"/>
        <v>0</v>
      </c>
      <c r="AE22" s="12"/>
    </row>
    <row r="23" spans="1:31" x14ac:dyDescent="0.25">
      <c r="A23" s="432" t="s">
        <v>7</v>
      </c>
      <c r="B23" s="57" t="s">
        <v>88</v>
      </c>
      <c r="C23" s="181">
        <f>'QDE Integral'!E23</f>
        <v>41.3</v>
      </c>
      <c r="D23" s="185">
        <f>'QDE Parcial Manhã'!E22</f>
        <v>5.8999999999999995</v>
      </c>
      <c r="E23" s="266">
        <f>'QDE Parcial Tarde'!E22</f>
        <v>35.4</v>
      </c>
      <c r="F23" s="533">
        <f>'QDE Berçário I'!E23</f>
        <v>35.4</v>
      </c>
      <c r="G23" s="77"/>
      <c r="H23" s="264">
        <f t="shared" si="0"/>
        <v>0</v>
      </c>
      <c r="I23" s="185">
        <f t="shared" si="1"/>
        <v>0</v>
      </c>
      <c r="J23" s="266">
        <f t="shared" si="2"/>
        <v>0</v>
      </c>
      <c r="K23" s="267">
        <f t="shared" si="3"/>
        <v>35.4</v>
      </c>
      <c r="L23" s="16"/>
      <c r="M23" s="281">
        <f t="shared" si="11"/>
        <v>3.5400000000000001E-2</v>
      </c>
      <c r="N23" s="14" t="s">
        <v>25</v>
      </c>
      <c r="O23" s="286"/>
      <c r="P23" s="27">
        <f t="shared" si="7"/>
        <v>0</v>
      </c>
      <c r="R23" s="439">
        <f t="shared" si="4"/>
        <v>0.1416</v>
      </c>
      <c r="S23" s="14" t="s">
        <v>25</v>
      </c>
      <c r="T23" s="286"/>
      <c r="U23" s="27">
        <f t="shared" si="5"/>
        <v>0</v>
      </c>
      <c r="W23" s="437">
        <f t="shared" si="8"/>
        <v>1.4159999999999999</v>
      </c>
      <c r="X23" s="14" t="s">
        <v>25</v>
      </c>
      <c r="Y23" s="286"/>
      <c r="Z23" s="421">
        <f t="shared" si="6"/>
        <v>0</v>
      </c>
      <c r="AA23" s="423"/>
      <c r="AB23" s="425">
        <f t="shared" si="9"/>
        <v>0</v>
      </c>
      <c r="AC23" s="423"/>
      <c r="AD23" s="424">
        <f t="shared" si="10"/>
        <v>0</v>
      </c>
      <c r="AE23" s="12"/>
    </row>
    <row r="24" spans="1:31" x14ac:dyDescent="0.25">
      <c r="A24" s="433" t="s">
        <v>8</v>
      </c>
      <c r="B24" s="57" t="s">
        <v>88</v>
      </c>
      <c r="C24" s="181">
        <f>'QDE Integral'!E24</f>
        <v>48.300000000000004</v>
      </c>
      <c r="D24" s="185">
        <f>'QDE Parcial Manhã'!E23</f>
        <v>0</v>
      </c>
      <c r="E24" s="266">
        <f>'QDE Parcial Tarde'!E23</f>
        <v>48.300000000000004</v>
      </c>
      <c r="F24" s="533">
        <f>'QDE Berçário I'!E24</f>
        <v>64.400000000000006</v>
      </c>
      <c r="G24" s="77"/>
      <c r="H24" s="264">
        <f t="shared" si="0"/>
        <v>0</v>
      </c>
      <c r="I24" s="185">
        <f t="shared" si="1"/>
        <v>0</v>
      </c>
      <c r="J24" s="266">
        <f t="shared" si="2"/>
        <v>0</v>
      </c>
      <c r="K24" s="267">
        <f t="shared" si="3"/>
        <v>64.400000000000006</v>
      </c>
      <c r="L24" s="16"/>
      <c r="M24" s="281">
        <f t="shared" si="11"/>
        <v>6.4399999999999999E-2</v>
      </c>
      <c r="N24" s="14" t="s">
        <v>25</v>
      </c>
      <c r="O24" s="286"/>
      <c r="P24" s="27">
        <f t="shared" si="7"/>
        <v>0</v>
      </c>
      <c r="R24" s="439">
        <f t="shared" si="4"/>
        <v>0.2576</v>
      </c>
      <c r="S24" s="14" t="s">
        <v>25</v>
      </c>
      <c r="T24" s="286"/>
      <c r="U24" s="27">
        <f t="shared" si="5"/>
        <v>0</v>
      </c>
      <c r="W24" s="437">
        <f t="shared" si="8"/>
        <v>2.5760000000000001</v>
      </c>
      <c r="X24" s="14" t="s">
        <v>25</v>
      </c>
      <c r="Y24" s="286"/>
      <c r="Z24" s="421">
        <f t="shared" si="6"/>
        <v>0</v>
      </c>
      <c r="AA24" s="423"/>
      <c r="AB24" s="425">
        <f t="shared" si="9"/>
        <v>0</v>
      </c>
      <c r="AC24" s="423"/>
      <c r="AD24" s="424">
        <f t="shared" si="10"/>
        <v>0</v>
      </c>
      <c r="AE24" s="12"/>
    </row>
    <row r="25" spans="1:31" x14ac:dyDescent="0.25">
      <c r="A25" s="432" t="s">
        <v>12</v>
      </c>
      <c r="B25" s="57" t="s">
        <v>88</v>
      </c>
      <c r="C25" s="181">
        <f>'QDE Integral'!E25</f>
        <v>4.32</v>
      </c>
      <c r="D25" s="185">
        <f>'QDE Parcial Manhã'!E24</f>
        <v>1.08</v>
      </c>
      <c r="E25" s="266">
        <f>'QDE Parcial Tarde'!E24</f>
        <v>2.16</v>
      </c>
      <c r="F25" s="533">
        <f>'QDE Berçário I'!E25</f>
        <v>5.3999999999999995</v>
      </c>
      <c r="G25" s="77"/>
      <c r="H25" s="264">
        <f t="shared" si="0"/>
        <v>0</v>
      </c>
      <c r="I25" s="185">
        <f t="shared" si="1"/>
        <v>0</v>
      </c>
      <c r="J25" s="266">
        <f t="shared" si="2"/>
        <v>0</v>
      </c>
      <c r="K25" s="267">
        <f t="shared" si="3"/>
        <v>5.3999999999999995</v>
      </c>
      <c r="L25" s="16"/>
      <c r="M25" s="281">
        <f>(H25+I25+J25+K25)/30</f>
        <v>0.18</v>
      </c>
      <c r="N25" s="14" t="s">
        <v>39</v>
      </c>
      <c r="O25" s="286"/>
      <c r="P25" s="27">
        <f t="shared" si="7"/>
        <v>0</v>
      </c>
      <c r="R25" s="439">
        <f t="shared" si="4"/>
        <v>0.72</v>
      </c>
      <c r="S25" s="14" t="s">
        <v>39</v>
      </c>
      <c r="T25" s="286"/>
      <c r="U25" s="27">
        <f t="shared" si="5"/>
        <v>0</v>
      </c>
      <c r="W25" s="437">
        <f t="shared" si="8"/>
        <v>7.1999999999999993</v>
      </c>
      <c r="X25" s="14" t="s">
        <v>39</v>
      </c>
      <c r="Y25" s="286"/>
      <c r="Z25" s="421">
        <f t="shared" si="6"/>
        <v>0</v>
      </c>
      <c r="AA25" s="423"/>
      <c r="AB25" s="425">
        <f t="shared" si="9"/>
        <v>0</v>
      </c>
      <c r="AC25" s="423"/>
      <c r="AD25" s="424">
        <f t="shared" si="10"/>
        <v>0</v>
      </c>
      <c r="AE25" s="12"/>
    </row>
    <row r="26" spans="1:31" x14ac:dyDescent="0.25">
      <c r="A26" s="433" t="s">
        <v>162</v>
      </c>
      <c r="B26" s="57" t="s">
        <v>88</v>
      </c>
      <c r="C26" s="181">
        <f>'QDE Integral'!E26</f>
        <v>4.9000000000000004</v>
      </c>
      <c r="D26" s="185">
        <f>'QDE Parcial Manhã'!E25</f>
        <v>2.0999999999999996</v>
      </c>
      <c r="E26" s="266">
        <f>'QDE Parcial Tarde'!E25</f>
        <v>2.8</v>
      </c>
      <c r="F26" s="533">
        <f>'QDE Berçário I'!E26</f>
        <v>6.3000000000000007</v>
      </c>
      <c r="G26" s="77"/>
      <c r="H26" s="264">
        <f t="shared" si="0"/>
        <v>0</v>
      </c>
      <c r="I26" s="185">
        <f t="shared" si="1"/>
        <v>0</v>
      </c>
      <c r="J26" s="266">
        <f t="shared" si="2"/>
        <v>0</v>
      </c>
      <c r="K26" s="267">
        <f t="shared" si="3"/>
        <v>6.3000000000000007</v>
      </c>
      <c r="L26" s="16"/>
      <c r="M26" s="281">
        <f>(H26+I26+J26+K26)/100</f>
        <v>6.3E-2</v>
      </c>
      <c r="N26" s="5" t="s">
        <v>126</v>
      </c>
      <c r="O26" s="286"/>
      <c r="P26" s="27">
        <f t="shared" si="7"/>
        <v>0</v>
      </c>
      <c r="R26" s="439">
        <f t="shared" si="4"/>
        <v>0.252</v>
      </c>
      <c r="S26" s="5" t="s">
        <v>36</v>
      </c>
      <c r="T26" s="286"/>
      <c r="U26" s="27">
        <f t="shared" si="5"/>
        <v>0</v>
      </c>
      <c r="W26" s="437">
        <f t="shared" si="8"/>
        <v>2.52</v>
      </c>
      <c r="X26" s="5" t="s">
        <v>36</v>
      </c>
      <c r="Y26" s="286"/>
      <c r="Z26" s="421">
        <f t="shared" si="6"/>
        <v>0</v>
      </c>
      <c r="AA26" s="423"/>
      <c r="AB26" s="425">
        <f t="shared" si="9"/>
        <v>0</v>
      </c>
      <c r="AC26" s="423"/>
      <c r="AD26" s="424">
        <f t="shared" si="10"/>
        <v>0</v>
      </c>
      <c r="AE26" s="11"/>
    </row>
    <row r="27" spans="1:31" x14ac:dyDescent="0.25">
      <c r="A27" s="433" t="s">
        <v>73</v>
      </c>
      <c r="B27" s="57" t="s">
        <v>88</v>
      </c>
      <c r="C27" s="181">
        <f>'QDE Integral'!E27</f>
        <v>2.96</v>
      </c>
      <c r="D27" s="185">
        <f>'QDE Parcial Manhã'!E26</f>
        <v>2.96</v>
      </c>
      <c r="E27" s="266">
        <f>'QDE Parcial Tarde'!E26</f>
        <v>0</v>
      </c>
      <c r="F27" s="533">
        <f>'QDE Berçário I'!E27</f>
        <v>0</v>
      </c>
      <c r="G27" s="77"/>
      <c r="H27" s="264">
        <f t="shared" si="0"/>
        <v>0</v>
      </c>
      <c r="I27" s="185">
        <f t="shared" si="1"/>
        <v>0</v>
      </c>
      <c r="J27" s="266">
        <f t="shared" si="2"/>
        <v>0</v>
      </c>
      <c r="K27" s="267">
        <f t="shared" si="3"/>
        <v>0</v>
      </c>
      <c r="L27" s="16"/>
      <c r="M27" s="281">
        <f t="shared" si="11"/>
        <v>0</v>
      </c>
      <c r="N27" s="14" t="s">
        <v>25</v>
      </c>
      <c r="O27" s="286"/>
      <c r="P27" s="27">
        <f t="shared" si="7"/>
        <v>0</v>
      </c>
      <c r="R27" s="439">
        <f t="shared" si="4"/>
        <v>0</v>
      </c>
      <c r="S27" s="14" t="s">
        <v>25</v>
      </c>
      <c r="T27" s="286"/>
      <c r="U27" s="27">
        <f t="shared" si="5"/>
        <v>0</v>
      </c>
      <c r="W27" s="437">
        <f t="shared" si="8"/>
        <v>0</v>
      </c>
      <c r="X27" s="14" t="s">
        <v>25</v>
      </c>
      <c r="Y27" s="286"/>
      <c r="Z27" s="421">
        <f t="shared" si="6"/>
        <v>0</v>
      </c>
      <c r="AA27" s="423"/>
      <c r="AB27" s="425">
        <f t="shared" si="9"/>
        <v>0</v>
      </c>
      <c r="AC27" s="423"/>
      <c r="AD27" s="424">
        <f t="shared" si="10"/>
        <v>0</v>
      </c>
      <c r="AE27" s="12"/>
    </row>
    <row r="28" spans="1:31" x14ac:dyDescent="0.25">
      <c r="A28" s="434" t="s">
        <v>64</v>
      </c>
      <c r="B28" s="57" t="s">
        <v>88</v>
      </c>
      <c r="C28" s="181">
        <f>'QDE Integral'!E28</f>
        <v>10</v>
      </c>
      <c r="D28" s="185">
        <f>'QDE Parcial Manhã'!E27</f>
        <v>10</v>
      </c>
      <c r="E28" s="266">
        <f>'QDE Parcial Tarde'!E27</f>
        <v>0</v>
      </c>
      <c r="F28" s="533">
        <f>'QDE Berçário I'!E28</f>
        <v>0</v>
      </c>
      <c r="G28" s="77"/>
      <c r="H28" s="264">
        <f t="shared" si="0"/>
        <v>0</v>
      </c>
      <c r="I28" s="185">
        <f t="shared" si="1"/>
        <v>0</v>
      </c>
      <c r="J28" s="266">
        <f t="shared" si="2"/>
        <v>0</v>
      </c>
      <c r="K28" s="267">
        <f t="shared" si="3"/>
        <v>0</v>
      </c>
      <c r="L28" s="16"/>
      <c r="M28" s="281">
        <f>(H28+I28+J28+K28)/1000</f>
        <v>0</v>
      </c>
      <c r="N28" s="14" t="s">
        <v>25</v>
      </c>
      <c r="O28" s="286"/>
      <c r="P28" s="27">
        <f t="shared" si="7"/>
        <v>0</v>
      </c>
      <c r="R28" s="439">
        <f t="shared" si="4"/>
        <v>0</v>
      </c>
      <c r="S28" s="14" t="s">
        <v>25</v>
      </c>
      <c r="T28" s="286"/>
      <c r="U28" s="27">
        <f t="shared" si="5"/>
        <v>0</v>
      </c>
      <c r="W28" s="437">
        <f t="shared" si="8"/>
        <v>0</v>
      </c>
      <c r="X28" s="14" t="s">
        <v>25</v>
      </c>
      <c r="Y28" s="286"/>
      <c r="Z28" s="421">
        <f t="shared" si="6"/>
        <v>0</v>
      </c>
      <c r="AA28" s="423"/>
      <c r="AB28" s="425">
        <f t="shared" si="9"/>
        <v>0</v>
      </c>
      <c r="AC28" s="423"/>
      <c r="AD28" s="424">
        <f t="shared" si="10"/>
        <v>0</v>
      </c>
      <c r="AE28" s="12"/>
    </row>
    <row r="29" spans="1:31" x14ac:dyDescent="0.25">
      <c r="A29" s="432" t="s">
        <v>41</v>
      </c>
      <c r="B29" s="57" t="s">
        <v>88</v>
      </c>
      <c r="C29" s="181">
        <f>'QDE Integral'!E29</f>
        <v>30</v>
      </c>
      <c r="D29" s="185">
        <f>'QDE Parcial Manhã'!E28</f>
        <v>15</v>
      </c>
      <c r="E29" s="266">
        <f>'QDE Parcial Tarde'!E28</f>
        <v>15</v>
      </c>
      <c r="F29" s="533">
        <f>'QDE Berçário I'!E29</f>
        <v>45</v>
      </c>
      <c r="G29" s="77"/>
      <c r="H29" s="264">
        <f t="shared" si="0"/>
        <v>0</v>
      </c>
      <c r="I29" s="185">
        <f t="shared" si="1"/>
        <v>0</v>
      </c>
      <c r="J29" s="266">
        <f t="shared" si="2"/>
        <v>0</v>
      </c>
      <c r="K29" s="267">
        <f t="shared" si="3"/>
        <v>45</v>
      </c>
      <c r="L29" s="16"/>
      <c r="M29" s="281">
        <f t="shared" si="11"/>
        <v>4.4999999999999998E-2</v>
      </c>
      <c r="N29" s="14" t="s">
        <v>25</v>
      </c>
      <c r="O29" s="286"/>
      <c r="P29" s="27">
        <f t="shared" si="7"/>
        <v>0</v>
      </c>
      <c r="R29" s="439">
        <f t="shared" si="4"/>
        <v>0.18</v>
      </c>
      <c r="S29" s="14" t="s">
        <v>25</v>
      </c>
      <c r="T29" s="286"/>
      <c r="U29" s="27">
        <f t="shared" si="5"/>
        <v>0</v>
      </c>
      <c r="W29" s="437">
        <f t="shared" si="8"/>
        <v>1.7999999999999998</v>
      </c>
      <c r="X29" s="14" t="s">
        <v>25</v>
      </c>
      <c r="Y29" s="286"/>
      <c r="Z29" s="421">
        <f t="shared" si="6"/>
        <v>0</v>
      </c>
      <c r="AA29" s="423"/>
      <c r="AB29" s="425">
        <f t="shared" si="9"/>
        <v>0</v>
      </c>
      <c r="AC29" s="423"/>
      <c r="AD29" s="424">
        <f t="shared" si="10"/>
        <v>0</v>
      </c>
      <c r="AE29" s="12"/>
    </row>
    <row r="30" spans="1:31" x14ac:dyDescent="0.25">
      <c r="A30" s="432" t="s">
        <v>50</v>
      </c>
      <c r="B30" s="57" t="s">
        <v>88</v>
      </c>
      <c r="C30" s="181">
        <f>'QDE Integral'!E30</f>
        <v>30</v>
      </c>
      <c r="D30" s="185">
        <f>'QDE Parcial Manhã'!E29</f>
        <v>30</v>
      </c>
      <c r="E30" s="266">
        <f>'QDE Parcial Tarde'!E29</f>
        <v>0</v>
      </c>
      <c r="F30" s="533">
        <f>'QDE Berçário I'!E30</f>
        <v>30</v>
      </c>
      <c r="G30" s="77"/>
      <c r="H30" s="264">
        <f t="shared" si="0"/>
        <v>0</v>
      </c>
      <c r="I30" s="185">
        <f t="shared" si="1"/>
        <v>0</v>
      </c>
      <c r="J30" s="266">
        <f t="shared" si="2"/>
        <v>0</v>
      </c>
      <c r="K30" s="267">
        <f t="shared" si="3"/>
        <v>30</v>
      </c>
      <c r="L30" s="16"/>
      <c r="M30" s="281">
        <f t="shared" si="11"/>
        <v>0.03</v>
      </c>
      <c r="N30" s="14" t="s">
        <v>25</v>
      </c>
      <c r="O30" s="286"/>
      <c r="P30" s="27">
        <f t="shared" si="7"/>
        <v>0</v>
      </c>
      <c r="R30" s="439">
        <f t="shared" si="4"/>
        <v>0.12</v>
      </c>
      <c r="S30" s="14" t="s">
        <v>25</v>
      </c>
      <c r="T30" s="286"/>
      <c r="U30" s="27">
        <f t="shared" si="5"/>
        <v>0</v>
      </c>
      <c r="W30" s="437">
        <f t="shared" si="8"/>
        <v>1.2</v>
      </c>
      <c r="X30" s="14" t="s">
        <v>25</v>
      </c>
      <c r="Y30" s="286"/>
      <c r="Z30" s="421">
        <f t="shared" si="6"/>
        <v>0</v>
      </c>
      <c r="AA30" s="423"/>
      <c r="AB30" s="425">
        <f t="shared" si="9"/>
        <v>0</v>
      </c>
      <c r="AC30" s="423"/>
      <c r="AD30" s="424">
        <f t="shared" si="10"/>
        <v>0</v>
      </c>
      <c r="AE30" s="12"/>
    </row>
    <row r="31" spans="1:31" x14ac:dyDescent="0.25">
      <c r="A31" s="434" t="s">
        <v>55</v>
      </c>
      <c r="B31" s="57" t="s">
        <v>88</v>
      </c>
      <c r="C31" s="181">
        <f>'QDE Integral'!E31</f>
        <v>70</v>
      </c>
      <c r="D31" s="185">
        <f>'QDE Parcial Manhã'!E30</f>
        <v>35</v>
      </c>
      <c r="E31" s="266">
        <f>'QDE Parcial Tarde'!E30</f>
        <v>35</v>
      </c>
      <c r="F31" s="533">
        <f>'QDE Berçário I'!E31</f>
        <v>0</v>
      </c>
      <c r="G31" s="77"/>
      <c r="H31" s="264">
        <f t="shared" si="0"/>
        <v>0</v>
      </c>
      <c r="I31" s="185">
        <f t="shared" si="1"/>
        <v>0</v>
      </c>
      <c r="J31" s="266">
        <f t="shared" si="2"/>
        <v>0</v>
      </c>
      <c r="K31" s="267">
        <f t="shared" si="3"/>
        <v>0</v>
      </c>
      <c r="L31" s="16"/>
      <c r="M31" s="281">
        <f>(H31+I31+J31+K31)/500</f>
        <v>0</v>
      </c>
      <c r="N31" s="14" t="s">
        <v>160</v>
      </c>
      <c r="O31" s="286"/>
      <c r="P31" s="27">
        <f t="shared" si="7"/>
        <v>0</v>
      </c>
      <c r="R31" s="439">
        <f t="shared" si="4"/>
        <v>0</v>
      </c>
      <c r="S31" s="14" t="s">
        <v>56</v>
      </c>
      <c r="T31" s="286"/>
      <c r="U31" s="27">
        <f t="shared" si="5"/>
        <v>0</v>
      </c>
      <c r="W31" s="437">
        <f t="shared" si="8"/>
        <v>0</v>
      </c>
      <c r="X31" s="14" t="s">
        <v>56</v>
      </c>
      <c r="Y31" s="286"/>
      <c r="Z31" s="421">
        <f t="shared" si="6"/>
        <v>0</v>
      </c>
      <c r="AA31" s="423"/>
      <c r="AB31" s="425">
        <f t="shared" si="9"/>
        <v>0</v>
      </c>
      <c r="AC31" s="423"/>
      <c r="AD31" s="424">
        <f t="shared" si="10"/>
        <v>0</v>
      </c>
      <c r="AE31" s="12"/>
    </row>
    <row r="32" spans="1:31" x14ac:dyDescent="0.25">
      <c r="A32" s="432" t="s">
        <v>11</v>
      </c>
      <c r="B32" s="57" t="s">
        <v>88</v>
      </c>
      <c r="C32" s="181">
        <f>'QDE Integral'!E32</f>
        <v>85.050000000000011</v>
      </c>
      <c r="D32" s="185">
        <f>'QDE Parcial Manhã'!E31</f>
        <v>49.95</v>
      </c>
      <c r="E32" s="266">
        <f>'QDE Parcial Tarde'!E31</f>
        <v>0</v>
      </c>
      <c r="F32" s="533">
        <f>'QDE Berçário I'!E32</f>
        <v>222.75000000000003</v>
      </c>
      <c r="G32" s="55"/>
      <c r="H32" s="264">
        <f t="shared" si="0"/>
        <v>0</v>
      </c>
      <c r="I32" s="185">
        <f t="shared" si="1"/>
        <v>0</v>
      </c>
      <c r="J32" s="266">
        <f t="shared" si="2"/>
        <v>0</v>
      </c>
      <c r="K32" s="267">
        <f t="shared" si="3"/>
        <v>222.75000000000003</v>
      </c>
      <c r="M32" s="281">
        <f t="shared" si="11"/>
        <v>0.22275000000000003</v>
      </c>
      <c r="N32" s="14" t="s">
        <v>25</v>
      </c>
      <c r="O32" s="286"/>
      <c r="P32" s="27">
        <f t="shared" si="7"/>
        <v>0</v>
      </c>
      <c r="R32" s="439">
        <f t="shared" si="4"/>
        <v>0.89100000000000013</v>
      </c>
      <c r="S32" s="14" t="s">
        <v>25</v>
      </c>
      <c r="T32" s="286"/>
      <c r="U32" s="27">
        <f t="shared" si="5"/>
        <v>0</v>
      </c>
      <c r="W32" s="437">
        <f t="shared" si="8"/>
        <v>8.9100000000000019</v>
      </c>
      <c r="X32" s="14" t="s">
        <v>25</v>
      </c>
      <c r="Y32" s="286"/>
      <c r="Z32" s="421">
        <f t="shared" si="6"/>
        <v>0</v>
      </c>
      <c r="AA32" s="423"/>
      <c r="AB32" s="425">
        <f t="shared" si="9"/>
        <v>0</v>
      </c>
      <c r="AC32" s="423"/>
      <c r="AD32" s="424">
        <f t="shared" si="10"/>
        <v>0</v>
      </c>
      <c r="AE32" s="12"/>
    </row>
    <row r="33" spans="1:31" x14ac:dyDescent="0.25">
      <c r="A33" s="432" t="s">
        <v>69</v>
      </c>
      <c r="B33" s="57" t="s">
        <v>88</v>
      </c>
      <c r="C33" s="181">
        <f>'QDE Integral'!E33</f>
        <v>171.6</v>
      </c>
      <c r="D33" s="185">
        <f>'QDE Parcial Manhã'!E32</f>
        <v>171.6</v>
      </c>
      <c r="E33" s="266">
        <f>'QDE Parcial Tarde'!E32</f>
        <v>46.800000000000004</v>
      </c>
      <c r="F33" s="533">
        <f>'QDE Berçário I'!E33</f>
        <v>78</v>
      </c>
      <c r="G33" s="55"/>
      <c r="H33" s="264">
        <f t="shared" si="0"/>
        <v>0</v>
      </c>
      <c r="I33" s="185">
        <f t="shared" si="1"/>
        <v>0</v>
      </c>
      <c r="J33" s="266">
        <f t="shared" si="2"/>
        <v>0</v>
      </c>
      <c r="K33" s="267">
        <f t="shared" si="3"/>
        <v>78</v>
      </c>
      <c r="M33" s="281">
        <f t="shared" si="11"/>
        <v>7.8E-2</v>
      </c>
      <c r="N33" s="14" t="s">
        <v>25</v>
      </c>
      <c r="O33" s="286"/>
      <c r="P33" s="27">
        <f t="shared" si="7"/>
        <v>0</v>
      </c>
      <c r="R33" s="439">
        <f t="shared" si="4"/>
        <v>0.312</v>
      </c>
      <c r="S33" s="14" t="s">
        <v>25</v>
      </c>
      <c r="T33" s="286"/>
      <c r="U33" s="27">
        <f t="shared" si="5"/>
        <v>0</v>
      </c>
      <c r="W33" s="437">
        <f t="shared" si="8"/>
        <v>3.12</v>
      </c>
      <c r="X33" s="14" t="s">
        <v>25</v>
      </c>
      <c r="Y33" s="286"/>
      <c r="Z33" s="421">
        <f t="shared" si="6"/>
        <v>0</v>
      </c>
      <c r="AA33" s="423"/>
      <c r="AB33" s="425">
        <f t="shared" si="9"/>
        <v>0</v>
      </c>
      <c r="AC33" s="423"/>
      <c r="AD33" s="424">
        <f t="shared" si="10"/>
        <v>0</v>
      </c>
      <c r="AE33" s="12"/>
    </row>
    <row r="34" spans="1:31" x14ac:dyDescent="0.25">
      <c r="A34" s="434" t="s">
        <v>26</v>
      </c>
      <c r="B34" s="57" t="s">
        <v>88</v>
      </c>
      <c r="C34" s="181">
        <f>'QDE Integral'!E34</f>
        <v>29</v>
      </c>
      <c r="D34" s="185">
        <f>'QDE Parcial Manhã'!E33</f>
        <v>29</v>
      </c>
      <c r="E34" s="266">
        <f>'QDE Parcial Tarde'!E33</f>
        <v>35</v>
      </c>
      <c r="F34" s="533">
        <f>'QDE Berçário I'!E34</f>
        <v>0</v>
      </c>
      <c r="G34" s="55"/>
      <c r="H34" s="264">
        <f t="shared" si="0"/>
        <v>0</v>
      </c>
      <c r="I34" s="185">
        <f t="shared" si="1"/>
        <v>0</v>
      </c>
      <c r="J34" s="266">
        <f t="shared" si="2"/>
        <v>0</v>
      </c>
      <c r="K34" s="267">
        <f t="shared" si="3"/>
        <v>0</v>
      </c>
      <c r="M34" s="281">
        <f>(H34+I34+J34+K34)/400</f>
        <v>0</v>
      </c>
      <c r="N34" s="14" t="s">
        <v>161</v>
      </c>
      <c r="O34" s="286"/>
      <c r="P34" s="27">
        <f t="shared" si="7"/>
        <v>0</v>
      </c>
      <c r="R34" s="439">
        <f t="shared" si="4"/>
        <v>0</v>
      </c>
      <c r="S34" s="14" t="s">
        <v>161</v>
      </c>
      <c r="T34" s="286"/>
      <c r="U34" s="27">
        <f t="shared" si="5"/>
        <v>0</v>
      </c>
      <c r="W34" s="437">
        <f t="shared" si="8"/>
        <v>0</v>
      </c>
      <c r="X34" s="14" t="s">
        <v>161</v>
      </c>
      <c r="Y34" s="286"/>
      <c r="Z34" s="421">
        <f t="shared" si="6"/>
        <v>0</v>
      </c>
      <c r="AA34" s="423"/>
      <c r="AB34" s="425">
        <f t="shared" si="9"/>
        <v>0</v>
      </c>
      <c r="AC34" s="423"/>
      <c r="AD34" s="424">
        <f t="shared" si="10"/>
        <v>0</v>
      </c>
      <c r="AE34" s="12"/>
    </row>
    <row r="35" spans="1:31" x14ac:dyDescent="0.25">
      <c r="A35" s="434" t="s">
        <v>30</v>
      </c>
      <c r="B35" s="57" t="s">
        <v>88</v>
      </c>
      <c r="C35" s="181">
        <f>'QDE Integral'!E35</f>
        <v>75</v>
      </c>
      <c r="D35" s="185">
        <f>'QDE Parcial Manhã'!E34</f>
        <v>0</v>
      </c>
      <c r="E35" s="266">
        <f>'QDE Parcial Tarde'!E34</f>
        <v>75</v>
      </c>
      <c r="F35" s="533">
        <f>'QDE Berçário I'!E35</f>
        <v>60</v>
      </c>
      <c r="G35" s="55"/>
      <c r="H35" s="264">
        <f t="shared" si="0"/>
        <v>0</v>
      </c>
      <c r="I35" s="185">
        <f t="shared" si="1"/>
        <v>0</v>
      </c>
      <c r="J35" s="266">
        <f t="shared" si="2"/>
        <v>0</v>
      </c>
      <c r="K35" s="267">
        <f t="shared" si="3"/>
        <v>60</v>
      </c>
      <c r="M35" s="281">
        <f>(H35+I35+J35+K35)/500</f>
        <v>0.12</v>
      </c>
      <c r="N35" s="14" t="s">
        <v>56</v>
      </c>
      <c r="O35" s="286"/>
      <c r="P35" s="27">
        <f t="shared" si="7"/>
        <v>0</v>
      </c>
      <c r="R35" s="439">
        <f t="shared" si="4"/>
        <v>0.48</v>
      </c>
      <c r="S35" s="14" t="s">
        <v>56</v>
      </c>
      <c r="T35" s="286"/>
      <c r="U35" s="27">
        <f t="shared" si="5"/>
        <v>0</v>
      </c>
      <c r="W35" s="437">
        <f t="shared" si="8"/>
        <v>4.8</v>
      </c>
      <c r="X35" s="14" t="s">
        <v>56</v>
      </c>
      <c r="Y35" s="286"/>
      <c r="Z35" s="421">
        <f t="shared" si="6"/>
        <v>0</v>
      </c>
      <c r="AA35" s="423"/>
      <c r="AB35" s="425">
        <f t="shared" si="9"/>
        <v>0</v>
      </c>
      <c r="AC35" s="423"/>
      <c r="AD35" s="424">
        <f t="shared" si="10"/>
        <v>0</v>
      </c>
      <c r="AE35" s="12"/>
    </row>
    <row r="36" spans="1:31" x14ac:dyDescent="0.25">
      <c r="A36" s="434" t="s">
        <v>119</v>
      </c>
      <c r="B36" s="57" t="s">
        <v>88</v>
      </c>
      <c r="C36" s="181">
        <f>'QDE Integral'!E36</f>
        <v>32.75</v>
      </c>
      <c r="D36" s="185">
        <f>'QDE Parcial Manhã'!E35</f>
        <v>32.75</v>
      </c>
      <c r="E36" s="266">
        <f>'QDE Parcial Tarde'!E35</f>
        <v>0</v>
      </c>
      <c r="F36" s="533">
        <f>'QDE Berçário I'!E36</f>
        <v>0</v>
      </c>
      <c r="G36" s="55"/>
      <c r="H36" s="264">
        <f t="shared" si="0"/>
        <v>0</v>
      </c>
      <c r="I36" s="185">
        <f t="shared" si="1"/>
        <v>0</v>
      </c>
      <c r="J36" s="266">
        <f t="shared" si="2"/>
        <v>0</v>
      </c>
      <c r="K36" s="267">
        <f t="shared" si="3"/>
        <v>0</v>
      </c>
      <c r="M36" s="281">
        <f t="shared" si="11"/>
        <v>0</v>
      </c>
      <c r="N36" s="14" t="s">
        <v>25</v>
      </c>
      <c r="O36" s="286"/>
      <c r="P36" s="27">
        <f t="shared" si="7"/>
        <v>0</v>
      </c>
      <c r="R36" s="439">
        <f t="shared" si="4"/>
        <v>0</v>
      </c>
      <c r="S36" s="14" t="s">
        <v>25</v>
      </c>
      <c r="T36" s="286"/>
      <c r="U36" s="27">
        <f t="shared" si="5"/>
        <v>0</v>
      </c>
      <c r="W36" s="437">
        <f t="shared" si="8"/>
        <v>0</v>
      </c>
      <c r="X36" s="14" t="s">
        <v>25</v>
      </c>
      <c r="Y36" s="286"/>
      <c r="Z36" s="421">
        <f t="shared" si="6"/>
        <v>0</v>
      </c>
      <c r="AA36" s="423"/>
      <c r="AB36" s="425">
        <f t="shared" si="9"/>
        <v>0</v>
      </c>
      <c r="AC36" s="423"/>
      <c r="AD36" s="424">
        <f t="shared" si="10"/>
        <v>0</v>
      </c>
      <c r="AE36" s="12"/>
    </row>
    <row r="37" spans="1:31" x14ac:dyDescent="0.25">
      <c r="A37" s="432" t="s">
        <v>31</v>
      </c>
      <c r="B37" s="57" t="s">
        <v>88</v>
      </c>
      <c r="C37" s="181">
        <f>'QDE Integral'!E37</f>
        <v>96</v>
      </c>
      <c r="D37" s="185">
        <f>'QDE Parcial Manhã'!E36</f>
        <v>96</v>
      </c>
      <c r="E37" s="266">
        <f>'QDE Parcial Tarde'!E36</f>
        <v>96</v>
      </c>
      <c r="F37" s="533">
        <f>'QDE Berçário I'!E37</f>
        <v>96</v>
      </c>
      <c r="G37" s="55"/>
      <c r="H37" s="264">
        <f t="shared" si="0"/>
        <v>0</v>
      </c>
      <c r="I37" s="185">
        <f t="shared" si="1"/>
        <v>0</v>
      </c>
      <c r="J37" s="266">
        <f t="shared" si="2"/>
        <v>0</v>
      </c>
      <c r="K37" s="267">
        <f t="shared" si="3"/>
        <v>96</v>
      </c>
      <c r="M37" s="281">
        <f t="shared" si="11"/>
        <v>9.6000000000000002E-2</v>
      </c>
      <c r="N37" s="14" t="s">
        <v>25</v>
      </c>
      <c r="O37" s="286"/>
      <c r="P37" s="27">
        <f t="shared" si="7"/>
        <v>0</v>
      </c>
      <c r="R37" s="439">
        <f t="shared" si="4"/>
        <v>0.38400000000000001</v>
      </c>
      <c r="S37" s="14" t="s">
        <v>25</v>
      </c>
      <c r="T37" s="286"/>
      <c r="U37" s="27">
        <f t="shared" si="5"/>
        <v>0</v>
      </c>
      <c r="W37" s="437">
        <f t="shared" si="8"/>
        <v>3.84</v>
      </c>
      <c r="X37" s="14" t="s">
        <v>25</v>
      </c>
      <c r="Y37" s="286"/>
      <c r="Z37" s="421">
        <f t="shared" si="6"/>
        <v>0</v>
      </c>
      <c r="AA37" s="423"/>
      <c r="AB37" s="425">
        <f t="shared" si="9"/>
        <v>0</v>
      </c>
      <c r="AC37" s="423"/>
      <c r="AD37" s="424">
        <f t="shared" si="10"/>
        <v>0</v>
      </c>
      <c r="AE37" s="12"/>
    </row>
    <row r="38" spans="1:31" x14ac:dyDescent="0.25">
      <c r="A38" s="434" t="s">
        <v>54</v>
      </c>
      <c r="B38" s="57" t="s">
        <v>88</v>
      </c>
      <c r="C38" s="181">
        <f>'QDE Integral'!E38</f>
        <v>16</v>
      </c>
      <c r="D38" s="185">
        <f>'QDE Parcial Manhã'!E37</f>
        <v>14</v>
      </c>
      <c r="E38" s="266">
        <f>'QDE Parcial Tarde'!E37</f>
        <v>2</v>
      </c>
      <c r="F38" s="533">
        <f>'QDE Berçário I'!E38</f>
        <v>0</v>
      </c>
      <c r="G38" s="55"/>
      <c r="H38" s="264">
        <f t="shared" si="0"/>
        <v>0</v>
      </c>
      <c r="I38" s="185">
        <f t="shared" si="1"/>
        <v>0</v>
      </c>
      <c r="J38" s="266">
        <f t="shared" si="2"/>
        <v>0</v>
      </c>
      <c r="K38" s="267">
        <f t="shared" si="3"/>
        <v>0</v>
      </c>
      <c r="M38" s="281">
        <f>(H38+I38+J38+K38)/500</f>
        <v>0</v>
      </c>
      <c r="N38" s="5" t="s">
        <v>56</v>
      </c>
      <c r="O38" s="286"/>
      <c r="P38" s="27">
        <f t="shared" si="7"/>
        <v>0</v>
      </c>
      <c r="R38" s="439">
        <f t="shared" si="4"/>
        <v>0</v>
      </c>
      <c r="S38" s="5" t="s">
        <v>56</v>
      </c>
      <c r="T38" s="286"/>
      <c r="U38" s="27">
        <f t="shared" si="5"/>
        <v>0</v>
      </c>
      <c r="W38" s="437">
        <f t="shared" si="8"/>
        <v>0</v>
      </c>
      <c r="X38" s="5" t="s">
        <v>56</v>
      </c>
      <c r="Y38" s="286"/>
      <c r="Z38" s="421">
        <f t="shared" si="6"/>
        <v>0</v>
      </c>
      <c r="AA38" s="423"/>
      <c r="AB38" s="425">
        <f t="shared" si="9"/>
        <v>0</v>
      </c>
      <c r="AC38" s="423"/>
      <c r="AD38" s="424">
        <f t="shared" si="10"/>
        <v>0</v>
      </c>
      <c r="AE38" s="11"/>
    </row>
    <row r="39" spans="1:31" x14ac:dyDescent="0.25">
      <c r="A39" s="434" t="s">
        <v>147</v>
      </c>
      <c r="B39" s="57" t="s">
        <v>166</v>
      </c>
      <c r="C39" s="181">
        <f>'QDE Integral'!E39</f>
        <v>97.5</v>
      </c>
      <c r="D39" s="185">
        <f>'QDE Parcial Manhã'!E38</f>
        <v>97.5</v>
      </c>
      <c r="E39" s="266">
        <f>'QDE Parcial Tarde'!E38</f>
        <v>0</v>
      </c>
      <c r="F39" s="533">
        <f>'QDE Berçário I'!E39</f>
        <v>117</v>
      </c>
      <c r="G39" s="77"/>
      <c r="H39" s="264">
        <f t="shared" ref="H39" si="20">C39*$H$7</f>
        <v>0</v>
      </c>
      <c r="I39" s="185">
        <f t="shared" ref="I39" si="21">D39*$I$7</f>
        <v>0</v>
      </c>
      <c r="J39" s="266">
        <f t="shared" ref="J39" si="22">E39*$J$7</f>
        <v>0</v>
      </c>
      <c r="K39" s="267">
        <f t="shared" ref="K39" si="23">F39*$K$7</f>
        <v>117</v>
      </c>
      <c r="M39" s="281">
        <f t="shared" ref="M39" si="24">(H39+I39+J39+K39)/1000</f>
        <v>0.11700000000000001</v>
      </c>
      <c r="N39" s="5" t="s">
        <v>25</v>
      </c>
      <c r="O39" s="286"/>
      <c r="P39" s="27">
        <f t="shared" si="7"/>
        <v>0</v>
      </c>
      <c r="R39" s="439">
        <f t="shared" si="4"/>
        <v>0.46800000000000003</v>
      </c>
      <c r="S39" s="5" t="s">
        <v>25</v>
      </c>
      <c r="T39" s="286"/>
      <c r="U39" s="27">
        <f t="shared" si="5"/>
        <v>0</v>
      </c>
      <c r="W39" s="437">
        <f t="shared" si="8"/>
        <v>4.6800000000000006</v>
      </c>
      <c r="X39" s="5" t="s">
        <v>25</v>
      </c>
      <c r="Y39" s="286"/>
      <c r="Z39" s="421">
        <f t="shared" si="6"/>
        <v>0</v>
      </c>
      <c r="AA39" s="423"/>
      <c r="AB39" s="425">
        <f t="shared" si="9"/>
        <v>0</v>
      </c>
      <c r="AC39" s="423"/>
      <c r="AD39" s="424">
        <f t="shared" si="10"/>
        <v>0</v>
      </c>
      <c r="AE39" s="11"/>
    </row>
    <row r="40" spans="1:31" x14ac:dyDescent="0.25">
      <c r="A40" s="434" t="s">
        <v>100</v>
      </c>
      <c r="B40" s="57" t="s">
        <v>88</v>
      </c>
      <c r="C40" s="181">
        <f>'QDE Integral'!E40</f>
        <v>136</v>
      </c>
      <c r="D40" s="185">
        <f>'QDE Parcial Manhã'!E39</f>
        <v>136</v>
      </c>
      <c r="E40" s="266">
        <f>'QDE Parcial Tarde'!E39</f>
        <v>68</v>
      </c>
      <c r="F40" s="533">
        <f>'QDE Berçário I'!E40</f>
        <v>81.600000000000009</v>
      </c>
      <c r="G40" s="55"/>
      <c r="H40" s="264">
        <f t="shared" si="0"/>
        <v>0</v>
      </c>
      <c r="I40" s="185">
        <f t="shared" si="1"/>
        <v>0</v>
      </c>
      <c r="J40" s="266">
        <f t="shared" si="2"/>
        <v>0</v>
      </c>
      <c r="K40" s="267">
        <f t="shared" si="3"/>
        <v>81.600000000000009</v>
      </c>
      <c r="M40" s="281">
        <f t="shared" si="11"/>
        <v>8.1600000000000006E-2</v>
      </c>
      <c r="N40" s="5" t="s">
        <v>25</v>
      </c>
      <c r="O40" s="286"/>
      <c r="P40" s="27">
        <f t="shared" si="7"/>
        <v>0</v>
      </c>
      <c r="R40" s="439">
        <f t="shared" si="4"/>
        <v>0.32640000000000002</v>
      </c>
      <c r="S40" s="5" t="s">
        <v>25</v>
      </c>
      <c r="T40" s="286"/>
      <c r="U40" s="27">
        <f t="shared" si="5"/>
        <v>0</v>
      </c>
      <c r="W40" s="437">
        <f t="shared" si="8"/>
        <v>3.2640000000000002</v>
      </c>
      <c r="X40" s="5" t="s">
        <v>25</v>
      </c>
      <c r="Y40" s="286"/>
      <c r="Z40" s="421">
        <f t="shared" si="6"/>
        <v>0</v>
      </c>
      <c r="AA40" s="423"/>
      <c r="AB40" s="425">
        <f t="shared" si="9"/>
        <v>0</v>
      </c>
      <c r="AC40" s="423"/>
      <c r="AD40" s="424">
        <f t="shared" si="10"/>
        <v>0</v>
      </c>
      <c r="AE40" s="11"/>
    </row>
    <row r="41" spans="1:31" x14ac:dyDescent="0.25">
      <c r="A41" s="433" t="s">
        <v>66</v>
      </c>
      <c r="B41" s="57" t="s">
        <v>88</v>
      </c>
      <c r="C41" s="181">
        <f>'QDE Integral'!E41</f>
        <v>90.75</v>
      </c>
      <c r="D41" s="185">
        <f>'QDE Parcial Manhã'!E40</f>
        <v>60.5</v>
      </c>
      <c r="E41" s="266">
        <f>'QDE Parcial Tarde'!E40</f>
        <v>30.25</v>
      </c>
      <c r="F41" s="533">
        <f>'QDE Berçário I'!E41</f>
        <v>60.5</v>
      </c>
      <c r="G41" s="55"/>
      <c r="H41" s="264">
        <f t="shared" si="0"/>
        <v>0</v>
      </c>
      <c r="I41" s="185">
        <f t="shared" si="1"/>
        <v>0</v>
      </c>
      <c r="J41" s="266">
        <f t="shared" si="2"/>
        <v>0</v>
      </c>
      <c r="K41" s="267">
        <f t="shared" si="3"/>
        <v>60.5</v>
      </c>
      <c r="M41" s="281">
        <f t="shared" si="11"/>
        <v>6.0499999999999998E-2</v>
      </c>
      <c r="N41" s="14" t="s">
        <v>25</v>
      </c>
      <c r="O41" s="286"/>
      <c r="P41" s="27">
        <f t="shared" si="7"/>
        <v>0</v>
      </c>
      <c r="R41" s="439">
        <f t="shared" si="4"/>
        <v>0.24199999999999999</v>
      </c>
      <c r="S41" s="14" t="s">
        <v>25</v>
      </c>
      <c r="T41" s="286"/>
      <c r="U41" s="27">
        <f t="shared" si="5"/>
        <v>0</v>
      </c>
      <c r="W41" s="437">
        <f t="shared" si="8"/>
        <v>2.42</v>
      </c>
      <c r="X41" s="14" t="s">
        <v>25</v>
      </c>
      <c r="Y41" s="286"/>
      <c r="Z41" s="421">
        <f t="shared" si="6"/>
        <v>0</v>
      </c>
      <c r="AA41" s="423"/>
      <c r="AB41" s="425">
        <f t="shared" si="9"/>
        <v>0</v>
      </c>
      <c r="AC41" s="423"/>
      <c r="AD41" s="424">
        <f t="shared" si="10"/>
        <v>0</v>
      </c>
      <c r="AE41" s="12"/>
    </row>
    <row r="42" spans="1:31" x14ac:dyDescent="0.25">
      <c r="A42" s="433" t="s">
        <v>4</v>
      </c>
      <c r="B42" s="57" t="s">
        <v>88</v>
      </c>
      <c r="C42" s="181">
        <f>'QDE Integral'!E42</f>
        <v>27</v>
      </c>
      <c r="D42" s="185">
        <f>'QDE Parcial Manhã'!E41</f>
        <v>20</v>
      </c>
      <c r="E42" s="266">
        <f>'QDE Parcial Tarde'!E41</f>
        <v>7</v>
      </c>
      <c r="F42" s="533">
        <f>'QDE Berçário I'!E42</f>
        <v>21</v>
      </c>
      <c r="G42" s="55"/>
      <c r="H42" s="264">
        <f t="shared" si="0"/>
        <v>0</v>
      </c>
      <c r="I42" s="185">
        <f t="shared" si="1"/>
        <v>0</v>
      </c>
      <c r="J42" s="266">
        <f t="shared" si="2"/>
        <v>0</v>
      </c>
      <c r="K42" s="267">
        <f t="shared" si="3"/>
        <v>21</v>
      </c>
      <c r="M42" s="281">
        <f>(H42+I42+J42+K42)/900</f>
        <v>2.3333333333333334E-2</v>
      </c>
      <c r="N42" s="14" t="s">
        <v>40</v>
      </c>
      <c r="O42" s="286"/>
      <c r="P42" s="27">
        <f t="shared" si="7"/>
        <v>0</v>
      </c>
      <c r="R42" s="439">
        <f t="shared" si="4"/>
        <v>9.3333333333333338E-2</v>
      </c>
      <c r="S42" s="14" t="s">
        <v>40</v>
      </c>
      <c r="T42" s="286"/>
      <c r="U42" s="27">
        <f t="shared" si="5"/>
        <v>0</v>
      </c>
      <c r="W42" s="437">
        <f t="shared" si="8"/>
        <v>0.93333333333333335</v>
      </c>
      <c r="X42" s="14" t="s">
        <v>40</v>
      </c>
      <c r="Y42" s="286"/>
      <c r="Z42" s="421">
        <f t="shared" si="6"/>
        <v>0</v>
      </c>
      <c r="AA42" s="423"/>
      <c r="AB42" s="425">
        <f t="shared" si="9"/>
        <v>0</v>
      </c>
      <c r="AC42" s="423"/>
      <c r="AD42" s="424">
        <f t="shared" si="10"/>
        <v>0</v>
      </c>
      <c r="AE42" s="12"/>
    </row>
    <row r="43" spans="1:31" x14ac:dyDescent="0.25">
      <c r="A43" s="435" t="s">
        <v>58</v>
      </c>
      <c r="B43" s="57" t="s">
        <v>88</v>
      </c>
      <c r="C43" s="181">
        <f>'QDE Integral'!E43</f>
        <v>56.499999999999993</v>
      </c>
      <c r="D43" s="185">
        <f>'QDE Parcial Manhã'!E42</f>
        <v>28.249999999999996</v>
      </c>
      <c r="E43" s="266">
        <f>'QDE Parcial Tarde'!E42</f>
        <v>28.249999999999996</v>
      </c>
      <c r="F43" s="533">
        <f>'QDE Berçário I'!E43</f>
        <v>0</v>
      </c>
      <c r="G43" s="55"/>
      <c r="H43" s="264">
        <f t="shared" si="0"/>
        <v>0</v>
      </c>
      <c r="I43" s="185">
        <f t="shared" si="1"/>
        <v>0</v>
      </c>
      <c r="J43" s="266">
        <f t="shared" si="2"/>
        <v>0</v>
      </c>
      <c r="K43" s="267">
        <f t="shared" si="3"/>
        <v>0</v>
      </c>
      <c r="M43" s="281">
        <f>(H43+I43+J43+K43)/1500</f>
        <v>0</v>
      </c>
      <c r="N43" s="14" t="s">
        <v>91</v>
      </c>
      <c r="O43" s="286"/>
      <c r="P43" s="27">
        <f t="shared" si="7"/>
        <v>0</v>
      </c>
      <c r="R43" s="439">
        <f t="shared" si="4"/>
        <v>0</v>
      </c>
      <c r="S43" s="14" t="s">
        <v>91</v>
      </c>
      <c r="T43" s="286"/>
      <c r="U43" s="27">
        <f t="shared" si="5"/>
        <v>0</v>
      </c>
      <c r="W43" s="437">
        <f t="shared" si="8"/>
        <v>0</v>
      </c>
      <c r="X43" s="14" t="s">
        <v>91</v>
      </c>
      <c r="Y43" s="286"/>
      <c r="Z43" s="421">
        <f t="shared" si="6"/>
        <v>0</v>
      </c>
      <c r="AA43" s="423"/>
      <c r="AB43" s="425">
        <f t="shared" si="9"/>
        <v>0</v>
      </c>
      <c r="AC43" s="423"/>
      <c r="AD43" s="424">
        <f t="shared" si="10"/>
        <v>0</v>
      </c>
      <c r="AE43" s="12"/>
    </row>
    <row r="44" spans="1:31" x14ac:dyDescent="0.25">
      <c r="A44" s="435" t="s">
        <v>111</v>
      </c>
      <c r="B44" s="57" t="s">
        <v>88</v>
      </c>
      <c r="C44" s="181">
        <f>'QDE Integral'!E44</f>
        <v>20</v>
      </c>
      <c r="D44" s="185">
        <f>'QDE Parcial Manhã'!E43</f>
        <v>0</v>
      </c>
      <c r="E44" s="266">
        <f>'QDE Parcial Tarde'!E43</f>
        <v>20</v>
      </c>
      <c r="F44" s="533">
        <f>'QDE Berçário I'!E44</f>
        <v>0</v>
      </c>
      <c r="G44" s="55"/>
      <c r="H44" s="264">
        <f t="shared" si="0"/>
        <v>0</v>
      </c>
      <c r="I44" s="185">
        <f t="shared" si="1"/>
        <v>0</v>
      </c>
      <c r="J44" s="266">
        <f t="shared" si="2"/>
        <v>0</v>
      </c>
      <c r="K44" s="267">
        <f t="shared" si="3"/>
        <v>0</v>
      </c>
      <c r="M44" s="281">
        <f>(H44+I44+J44+K44)/400</f>
        <v>0</v>
      </c>
      <c r="N44" s="14" t="s">
        <v>125</v>
      </c>
      <c r="O44" s="286"/>
      <c r="P44" s="27">
        <f t="shared" si="7"/>
        <v>0</v>
      </c>
      <c r="R44" s="439">
        <f t="shared" si="4"/>
        <v>0</v>
      </c>
      <c r="S44" s="14" t="s">
        <v>34</v>
      </c>
      <c r="T44" s="286"/>
      <c r="U44" s="27">
        <f t="shared" si="5"/>
        <v>0</v>
      </c>
      <c r="W44" s="437">
        <f t="shared" si="8"/>
        <v>0</v>
      </c>
      <c r="X44" s="14" t="s">
        <v>34</v>
      </c>
      <c r="Y44" s="286"/>
      <c r="Z44" s="421">
        <f t="shared" si="6"/>
        <v>0</v>
      </c>
      <c r="AA44" s="423"/>
      <c r="AB44" s="425">
        <f t="shared" si="9"/>
        <v>0</v>
      </c>
      <c r="AC44" s="423"/>
      <c r="AD44" s="424">
        <f t="shared" si="10"/>
        <v>0</v>
      </c>
      <c r="AE44" s="12"/>
    </row>
    <row r="45" spans="1:31" x14ac:dyDescent="0.25">
      <c r="A45" s="432" t="s">
        <v>46</v>
      </c>
      <c r="B45" s="57" t="s">
        <v>88</v>
      </c>
      <c r="C45" s="181">
        <f>'QDE Integral'!E45</f>
        <v>75.5</v>
      </c>
      <c r="D45" s="185">
        <f>'QDE Parcial Manhã'!E44</f>
        <v>75.5</v>
      </c>
      <c r="E45" s="266">
        <f>'QDE Parcial Tarde'!E44</f>
        <v>0</v>
      </c>
      <c r="F45" s="533">
        <f>'QDE Berçário I'!E45</f>
        <v>60.4</v>
      </c>
      <c r="G45" s="55"/>
      <c r="H45" s="264">
        <f t="shared" si="0"/>
        <v>0</v>
      </c>
      <c r="I45" s="185">
        <f t="shared" si="1"/>
        <v>0</v>
      </c>
      <c r="J45" s="266">
        <f t="shared" si="2"/>
        <v>0</v>
      </c>
      <c r="K45" s="267">
        <f t="shared" si="3"/>
        <v>60.4</v>
      </c>
      <c r="M45" s="281">
        <f>(H45+I45+J45+K45)/1000</f>
        <v>6.0399999999999995E-2</v>
      </c>
      <c r="N45" s="14" t="s">
        <v>25</v>
      </c>
      <c r="O45" s="286"/>
      <c r="P45" s="27">
        <f t="shared" si="7"/>
        <v>0</v>
      </c>
      <c r="R45" s="439">
        <f t="shared" si="4"/>
        <v>0.24159999999999998</v>
      </c>
      <c r="S45" s="14" t="s">
        <v>76</v>
      </c>
      <c r="T45" s="286"/>
      <c r="U45" s="27">
        <f t="shared" si="5"/>
        <v>0</v>
      </c>
      <c r="W45" s="437">
        <f t="shared" si="8"/>
        <v>2.4159999999999999</v>
      </c>
      <c r="X45" s="14" t="s">
        <v>76</v>
      </c>
      <c r="Y45" s="286"/>
      <c r="Z45" s="421">
        <f t="shared" si="6"/>
        <v>0</v>
      </c>
      <c r="AA45" s="423"/>
      <c r="AB45" s="425">
        <f t="shared" si="9"/>
        <v>0</v>
      </c>
      <c r="AC45" s="423"/>
      <c r="AD45" s="424">
        <f t="shared" si="10"/>
        <v>0</v>
      </c>
      <c r="AE45" s="12"/>
    </row>
    <row r="46" spans="1:31" x14ac:dyDescent="0.25">
      <c r="A46" s="434" t="s">
        <v>9</v>
      </c>
      <c r="B46" s="57" t="s">
        <v>90</v>
      </c>
      <c r="C46" s="181">
        <f>'QDE Integral'!E46</f>
        <v>5.72</v>
      </c>
      <c r="D46" s="185">
        <f>'QDE Parcial Manhã'!E45</f>
        <v>1.43</v>
      </c>
      <c r="E46" s="266">
        <f>'QDE Parcial Tarde'!E45</f>
        <v>4.29</v>
      </c>
      <c r="F46" s="533">
        <f>'QDE Berçário I'!E46</f>
        <v>7.1499999999999995</v>
      </c>
      <c r="G46" s="55"/>
      <c r="H46" s="264">
        <f t="shared" si="0"/>
        <v>0</v>
      </c>
      <c r="I46" s="185">
        <f t="shared" si="1"/>
        <v>0</v>
      </c>
      <c r="J46" s="266">
        <f t="shared" si="2"/>
        <v>0</v>
      </c>
      <c r="K46" s="267">
        <f t="shared" si="3"/>
        <v>7.1499999999999995</v>
      </c>
      <c r="M46" s="281">
        <f t="shared" si="11"/>
        <v>7.1499999999999992E-3</v>
      </c>
      <c r="N46" s="14" t="s">
        <v>25</v>
      </c>
      <c r="O46" s="286"/>
      <c r="P46" s="27">
        <f t="shared" si="7"/>
        <v>0</v>
      </c>
      <c r="R46" s="439">
        <f t="shared" si="4"/>
        <v>2.8599999999999997E-2</v>
      </c>
      <c r="S46" s="14" t="s">
        <v>25</v>
      </c>
      <c r="T46" s="286"/>
      <c r="U46" s="27">
        <f t="shared" si="5"/>
        <v>0</v>
      </c>
      <c r="W46" s="437">
        <f t="shared" si="8"/>
        <v>0.28599999999999998</v>
      </c>
      <c r="X46" s="14" t="s">
        <v>25</v>
      </c>
      <c r="Y46" s="286"/>
      <c r="Z46" s="421">
        <f t="shared" si="6"/>
        <v>0</v>
      </c>
      <c r="AA46" s="423"/>
      <c r="AB46" s="425">
        <f t="shared" si="9"/>
        <v>0</v>
      </c>
      <c r="AC46" s="423"/>
      <c r="AD46" s="424">
        <f t="shared" si="10"/>
        <v>0</v>
      </c>
      <c r="AE46" s="12"/>
    </row>
    <row r="47" spans="1:31" x14ac:dyDescent="0.25">
      <c r="A47" s="433" t="s">
        <v>29</v>
      </c>
      <c r="B47" s="57" t="s">
        <v>88</v>
      </c>
      <c r="C47" s="181">
        <f>'QDE Integral'!E47</f>
        <v>40</v>
      </c>
      <c r="D47" s="185">
        <f>'QDE Parcial Manhã'!E46</f>
        <v>0</v>
      </c>
      <c r="E47" s="266">
        <f>'QDE Parcial Tarde'!E46</f>
        <v>40</v>
      </c>
      <c r="F47" s="533">
        <f>'QDE Berçário I'!E47</f>
        <v>40</v>
      </c>
      <c r="G47" s="55"/>
      <c r="H47" s="264">
        <f t="shared" si="0"/>
        <v>0</v>
      </c>
      <c r="I47" s="185">
        <f t="shared" si="1"/>
        <v>0</v>
      </c>
      <c r="J47" s="266">
        <f t="shared" si="2"/>
        <v>0</v>
      </c>
      <c r="K47" s="267">
        <f t="shared" si="3"/>
        <v>40</v>
      </c>
      <c r="M47" s="281">
        <f t="shared" si="11"/>
        <v>0.04</v>
      </c>
      <c r="N47" s="14" t="s">
        <v>25</v>
      </c>
      <c r="O47" s="286"/>
      <c r="P47" s="27">
        <f t="shared" si="7"/>
        <v>0</v>
      </c>
      <c r="R47" s="439">
        <f t="shared" si="4"/>
        <v>0.16</v>
      </c>
      <c r="S47" s="14" t="s">
        <v>25</v>
      </c>
      <c r="T47" s="286"/>
      <c r="U47" s="27">
        <f t="shared" si="5"/>
        <v>0</v>
      </c>
      <c r="W47" s="437">
        <f t="shared" si="8"/>
        <v>1.6</v>
      </c>
      <c r="X47" s="14" t="s">
        <v>25</v>
      </c>
      <c r="Y47" s="286"/>
      <c r="Z47" s="421">
        <f t="shared" si="6"/>
        <v>0</v>
      </c>
      <c r="AA47" s="423"/>
      <c r="AB47" s="425">
        <f t="shared" si="9"/>
        <v>0</v>
      </c>
      <c r="AC47" s="423"/>
      <c r="AD47" s="424">
        <f t="shared" si="10"/>
        <v>0</v>
      </c>
      <c r="AE47" s="12"/>
    </row>
    <row r="48" spans="1:31" x14ac:dyDescent="0.25">
      <c r="A48" s="433" t="s">
        <v>67</v>
      </c>
      <c r="B48" s="57" t="s">
        <v>88</v>
      </c>
      <c r="C48" s="181">
        <f>'QDE Integral'!E48</f>
        <v>40</v>
      </c>
      <c r="D48" s="185">
        <f>'QDE Parcial Manhã'!E47</f>
        <v>0</v>
      </c>
      <c r="E48" s="266">
        <f>'QDE Parcial Tarde'!E47</f>
        <v>40</v>
      </c>
      <c r="F48" s="533">
        <f>'QDE Berçário I'!E48</f>
        <v>0</v>
      </c>
      <c r="G48" s="55"/>
      <c r="H48" s="264">
        <f t="shared" si="0"/>
        <v>0</v>
      </c>
      <c r="I48" s="185">
        <f t="shared" si="1"/>
        <v>0</v>
      </c>
      <c r="J48" s="266">
        <f t="shared" si="2"/>
        <v>0</v>
      </c>
      <c r="K48" s="267">
        <f t="shared" si="3"/>
        <v>0</v>
      </c>
      <c r="M48" s="281">
        <f t="shared" si="11"/>
        <v>0</v>
      </c>
      <c r="N48" s="14" t="s">
        <v>25</v>
      </c>
      <c r="O48" s="286"/>
      <c r="P48" s="27">
        <f t="shared" si="7"/>
        <v>0</v>
      </c>
      <c r="R48" s="439">
        <f t="shared" si="4"/>
        <v>0</v>
      </c>
      <c r="S48" s="14" t="s">
        <v>25</v>
      </c>
      <c r="T48" s="286"/>
      <c r="U48" s="27">
        <f t="shared" si="5"/>
        <v>0</v>
      </c>
      <c r="W48" s="437">
        <f t="shared" si="8"/>
        <v>0</v>
      </c>
      <c r="X48" s="14" t="s">
        <v>25</v>
      </c>
      <c r="Y48" s="286"/>
      <c r="Z48" s="421">
        <f t="shared" si="6"/>
        <v>0</v>
      </c>
      <c r="AA48" s="423"/>
      <c r="AB48" s="425">
        <f t="shared" si="9"/>
        <v>0</v>
      </c>
      <c r="AC48" s="423"/>
      <c r="AD48" s="424">
        <f t="shared" si="10"/>
        <v>0</v>
      </c>
      <c r="AE48" s="12"/>
    </row>
    <row r="49" spans="1:31" x14ac:dyDescent="0.25">
      <c r="A49" s="434" t="s">
        <v>33</v>
      </c>
      <c r="B49" s="57" t="s">
        <v>88</v>
      </c>
      <c r="C49" s="181">
        <f>'QDE Integral'!E49</f>
        <v>17</v>
      </c>
      <c r="D49" s="185">
        <f>'QDE Parcial Manhã'!E48</f>
        <v>0</v>
      </c>
      <c r="E49" s="266">
        <f>'QDE Parcial Tarde'!E48</f>
        <v>17</v>
      </c>
      <c r="F49" s="533">
        <f>'QDE Berçário I'!E49</f>
        <v>0</v>
      </c>
      <c r="G49" s="55"/>
      <c r="H49" s="264">
        <f t="shared" si="0"/>
        <v>0</v>
      </c>
      <c r="I49" s="185">
        <f t="shared" si="1"/>
        <v>0</v>
      </c>
      <c r="J49" s="266">
        <f t="shared" si="2"/>
        <v>0</v>
      </c>
      <c r="K49" s="267">
        <f t="shared" si="3"/>
        <v>0</v>
      </c>
      <c r="M49" s="281">
        <f>(H49+I49+J49+K49)/520</f>
        <v>0</v>
      </c>
      <c r="N49" s="14" t="s">
        <v>122</v>
      </c>
      <c r="O49" s="286"/>
      <c r="P49" s="27">
        <f t="shared" si="7"/>
        <v>0</v>
      </c>
      <c r="R49" s="439">
        <f t="shared" si="4"/>
        <v>0</v>
      </c>
      <c r="S49" s="14" t="s">
        <v>92</v>
      </c>
      <c r="T49" s="286"/>
      <c r="U49" s="27">
        <f t="shared" si="5"/>
        <v>0</v>
      </c>
      <c r="W49" s="437">
        <f t="shared" si="8"/>
        <v>0</v>
      </c>
      <c r="X49" s="14" t="s">
        <v>92</v>
      </c>
      <c r="Y49" s="286"/>
      <c r="Z49" s="421">
        <f t="shared" si="6"/>
        <v>0</v>
      </c>
      <c r="AA49" s="423"/>
      <c r="AB49" s="425">
        <f t="shared" si="9"/>
        <v>0</v>
      </c>
      <c r="AC49" s="423"/>
      <c r="AD49" s="424">
        <f t="shared" si="10"/>
        <v>0</v>
      </c>
      <c r="AE49" s="12"/>
    </row>
    <row r="50" spans="1:31" x14ac:dyDescent="0.25">
      <c r="A50" s="432" t="s">
        <v>5</v>
      </c>
      <c r="B50" s="57" t="s">
        <v>88</v>
      </c>
      <c r="C50" s="181">
        <f>'QDE Integral'!E50</f>
        <v>12</v>
      </c>
      <c r="D50" s="185">
        <f>'QDE Parcial Manhã'!E49</f>
        <v>8.5</v>
      </c>
      <c r="E50" s="266">
        <f>'QDE Parcial Tarde'!E49</f>
        <v>4</v>
      </c>
      <c r="F50" s="533">
        <f>'QDE Berçário I'!E50</f>
        <v>12</v>
      </c>
      <c r="G50" s="55"/>
      <c r="H50" s="264">
        <f t="shared" si="0"/>
        <v>0</v>
      </c>
      <c r="I50" s="185">
        <f t="shared" si="1"/>
        <v>0</v>
      </c>
      <c r="J50" s="266">
        <f t="shared" si="2"/>
        <v>0</v>
      </c>
      <c r="K50" s="267">
        <f t="shared" si="3"/>
        <v>12</v>
      </c>
      <c r="M50" s="281">
        <f t="shared" si="11"/>
        <v>1.2E-2</v>
      </c>
      <c r="N50" s="14" t="s">
        <v>25</v>
      </c>
      <c r="O50" s="286"/>
      <c r="P50" s="27">
        <f t="shared" si="7"/>
        <v>0</v>
      </c>
      <c r="R50" s="439">
        <f t="shared" si="4"/>
        <v>4.8000000000000001E-2</v>
      </c>
      <c r="S50" s="14" t="s">
        <v>25</v>
      </c>
      <c r="T50" s="286"/>
      <c r="U50" s="27">
        <f t="shared" si="5"/>
        <v>0</v>
      </c>
      <c r="W50" s="437">
        <f t="shared" si="8"/>
        <v>0.48</v>
      </c>
      <c r="X50" s="14" t="s">
        <v>25</v>
      </c>
      <c r="Y50" s="286"/>
      <c r="Z50" s="421">
        <f t="shared" si="6"/>
        <v>0</v>
      </c>
      <c r="AA50" s="423"/>
      <c r="AB50" s="425">
        <f t="shared" si="9"/>
        <v>0</v>
      </c>
      <c r="AC50" s="423"/>
      <c r="AD50" s="424">
        <f t="shared" si="10"/>
        <v>0</v>
      </c>
      <c r="AE50" s="12"/>
    </row>
    <row r="51" spans="1:31" ht="13.5" customHeight="1" x14ac:dyDescent="0.25">
      <c r="A51" s="432" t="s">
        <v>10</v>
      </c>
      <c r="B51" s="57" t="s">
        <v>88</v>
      </c>
      <c r="C51" s="181">
        <f>'QDE Integral'!E51</f>
        <v>127.68</v>
      </c>
      <c r="D51" s="185">
        <f>'QDE Parcial Manhã'!E50</f>
        <v>63.84</v>
      </c>
      <c r="E51" s="266">
        <f>'QDE Parcial Tarde'!E50</f>
        <v>53.2</v>
      </c>
      <c r="F51" s="533">
        <f>'QDE Berçário I'!E51</f>
        <v>79.800000000000011</v>
      </c>
      <c r="G51" s="55"/>
      <c r="H51" s="264">
        <f t="shared" si="0"/>
        <v>0</v>
      </c>
      <c r="I51" s="185">
        <f t="shared" si="1"/>
        <v>0</v>
      </c>
      <c r="J51" s="266">
        <f t="shared" si="2"/>
        <v>0</v>
      </c>
      <c r="K51" s="267">
        <f t="shared" si="3"/>
        <v>79.800000000000011</v>
      </c>
      <c r="M51" s="281">
        <f t="shared" si="11"/>
        <v>7.980000000000001E-2</v>
      </c>
      <c r="N51" s="14" t="s">
        <v>25</v>
      </c>
      <c r="O51" s="286"/>
      <c r="P51" s="27">
        <f t="shared" si="7"/>
        <v>0</v>
      </c>
      <c r="R51" s="439">
        <f t="shared" si="4"/>
        <v>0.31920000000000004</v>
      </c>
      <c r="S51" s="14" t="s">
        <v>25</v>
      </c>
      <c r="T51" s="286"/>
      <c r="U51" s="27">
        <f t="shared" si="5"/>
        <v>0</v>
      </c>
      <c r="W51" s="437">
        <f t="shared" si="8"/>
        <v>3.1920000000000002</v>
      </c>
      <c r="X51" s="14" t="s">
        <v>25</v>
      </c>
      <c r="Y51" s="286"/>
      <c r="Z51" s="421">
        <f t="shared" si="6"/>
        <v>0</v>
      </c>
      <c r="AA51" s="423"/>
      <c r="AB51" s="425">
        <f t="shared" si="9"/>
        <v>0</v>
      </c>
      <c r="AC51" s="423"/>
      <c r="AD51" s="424">
        <f t="shared" si="10"/>
        <v>0</v>
      </c>
      <c r="AE51" s="12"/>
    </row>
    <row r="52" spans="1:31" x14ac:dyDescent="0.25">
      <c r="A52" s="432" t="s">
        <v>157</v>
      </c>
      <c r="B52" s="1" t="s">
        <v>88</v>
      </c>
      <c r="C52" s="181">
        <f>'QDE Integral'!E52</f>
        <v>0</v>
      </c>
      <c r="D52" s="185">
        <f>'QDE Parcial Manhã'!E51</f>
        <v>0</v>
      </c>
      <c r="E52" s="266">
        <f>'QDE Parcial Tarde'!E52</f>
        <v>0</v>
      </c>
      <c r="F52" s="533">
        <f>'QDE Berçário I'!E52</f>
        <v>70</v>
      </c>
      <c r="G52" s="36"/>
      <c r="H52" s="264">
        <f>C52*$H$7</f>
        <v>0</v>
      </c>
      <c r="I52" s="185">
        <f>D52*$I$7</f>
        <v>0</v>
      </c>
      <c r="J52" s="266">
        <f>E52*$J$7</f>
        <v>0</v>
      </c>
      <c r="K52" s="267">
        <f>F52*$K$7</f>
        <v>70</v>
      </c>
      <c r="L52" s="36"/>
      <c r="M52" s="281">
        <f>(H52+I52+J52+K52)/400</f>
        <v>0.17499999999999999</v>
      </c>
      <c r="N52" s="14" t="s">
        <v>125</v>
      </c>
      <c r="O52" s="286"/>
      <c r="P52" s="27">
        <f t="shared" si="7"/>
        <v>0</v>
      </c>
      <c r="R52" s="439">
        <f t="shared" si="4"/>
        <v>0.7</v>
      </c>
      <c r="S52" s="14" t="s">
        <v>56</v>
      </c>
      <c r="T52" s="286"/>
      <c r="U52" s="27">
        <f t="shared" si="5"/>
        <v>0</v>
      </c>
      <c r="V52" s="2"/>
      <c r="W52" s="437">
        <f t="shared" si="8"/>
        <v>7</v>
      </c>
      <c r="X52" s="14" t="s">
        <v>56</v>
      </c>
      <c r="Y52" s="286"/>
      <c r="Z52" s="421">
        <f t="shared" si="6"/>
        <v>0</v>
      </c>
      <c r="AA52" s="423"/>
      <c r="AB52" s="425">
        <f>AA52*Y52</f>
        <v>0</v>
      </c>
      <c r="AC52" s="423"/>
      <c r="AD52" s="424">
        <f>AC52*Y52</f>
        <v>0</v>
      </c>
      <c r="AE52"/>
    </row>
    <row r="53" spans="1:31" ht="15.75" x14ac:dyDescent="0.25">
      <c r="D53" s="263"/>
      <c r="P53" s="284">
        <f>SUM(P8:P51)</f>
        <v>0</v>
      </c>
      <c r="U53" s="284">
        <f>SUM(U8:U51)</f>
        <v>0</v>
      </c>
      <c r="Z53" s="284">
        <f>SUM(Z8:Z51)</f>
        <v>0</v>
      </c>
      <c r="AB53" s="426">
        <f>SUM(AB8:AB51)</f>
        <v>0</v>
      </c>
      <c r="AD53" s="427">
        <f>SUM(AD8:AD51)</f>
        <v>0</v>
      </c>
    </row>
    <row r="54" spans="1:31" ht="15.75" x14ac:dyDescent="0.25">
      <c r="D54" s="263"/>
      <c r="P54" s="558">
        <f>P53/5</f>
        <v>0</v>
      </c>
      <c r="U54" s="554"/>
      <c r="Z54" s="554"/>
      <c r="AB54" s="426"/>
      <c r="AD54" s="427"/>
    </row>
    <row r="55" spans="1:31" ht="16.5" thickBot="1" x14ac:dyDescent="0.3">
      <c r="D55" s="263"/>
      <c r="P55" s="554"/>
      <c r="U55" s="554"/>
      <c r="Z55" s="554"/>
      <c r="AB55" s="426"/>
      <c r="AD55" s="427"/>
    </row>
    <row r="56" spans="1:31" ht="75.75" thickBot="1" x14ac:dyDescent="0.3">
      <c r="A56" s="273" t="s">
        <v>81</v>
      </c>
      <c r="B56" s="274" t="s">
        <v>134</v>
      </c>
      <c r="C56" s="182" t="s">
        <v>133</v>
      </c>
      <c r="D56" s="186" t="s">
        <v>137</v>
      </c>
      <c r="E56" s="265" t="s">
        <v>138</v>
      </c>
      <c r="F56" s="551" t="s">
        <v>139</v>
      </c>
      <c r="H56" s="180" t="s">
        <v>136</v>
      </c>
      <c r="I56" s="180" t="s">
        <v>140</v>
      </c>
      <c r="J56" s="180" t="s">
        <v>135</v>
      </c>
      <c r="K56" s="180" t="s">
        <v>165</v>
      </c>
      <c r="M56" s="282" t="s">
        <v>83</v>
      </c>
      <c r="N56" s="278" t="s">
        <v>84</v>
      </c>
      <c r="O56" s="279" t="s">
        <v>163</v>
      </c>
      <c r="P56" s="280" t="s">
        <v>86</v>
      </c>
      <c r="R56" s="438" t="s">
        <v>87</v>
      </c>
      <c r="S56" s="275" t="s">
        <v>84</v>
      </c>
      <c r="T56" s="276" t="s">
        <v>164</v>
      </c>
      <c r="U56" s="277" t="s">
        <v>86</v>
      </c>
      <c r="W56" s="436" t="s">
        <v>142</v>
      </c>
      <c r="X56" s="275" t="s">
        <v>84</v>
      </c>
      <c r="Y56" s="276" t="s">
        <v>164</v>
      </c>
      <c r="Z56" s="273" t="s">
        <v>86</v>
      </c>
    </row>
    <row r="57" spans="1:31" ht="26.25" x14ac:dyDescent="0.25">
      <c r="H57" s="268">
        <v>0</v>
      </c>
      <c r="I57" s="269">
        <v>0</v>
      </c>
      <c r="J57" s="270">
        <v>0</v>
      </c>
      <c r="K57" s="271">
        <v>0</v>
      </c>
    </row>
    <row r="58" spans="1:31" ht="24" customHeight="1" x14ac:dyDescent="0.25">
      <c r="A58" s="553" t="s">
        <v>225</v>
      </c>
      <c r="B58" s="57" t="s">
        <v>88</v>
      </c>
      <c r="C58" s="557">
        <v>29</v>
      </c>
      <c r="D58" s="185">
        <v>29</v>
      </c>
      <c r="E58" s="266">
        <v>35</v>
      </c>
      <c r="F58" s="533">
        <v>0</v>
      </c>
      <c r="G58" s="552"/>
      <c r="H58" s="264">
        <f>C58*$H$57</f>
        <v>0</v>
      </c>
      <c r="I58" s="185">
        <f>D58*$I$57</f>
        <v>0</v>
      </c>
      <c r="J58" s="266">
        <f>E58*$J$57</f>
        <v>0</v>
      </c>
      <c r="K58" s="267">
        <f t="shared" ref="K58" si="25">F58*$K$7</f>
        <v>0</v>
      </c>
      <c r="M58" s="281">
        <f>(H58+I58+J58+K58)/300</f>
        <v>0</v>
      </c>
      <c r="N58" s="14" t="s">
        <v>226</v>
      </c>
      <c r="O58" s="286">
        <v>33.67</v>
      </c>
      <c r="P58" s="27">
        <f t="shared" ref="P58" si="26">M58*O58</f>
        <v>0</v>
      </c>
      <c r="R58" s="439">
        <f t="shared" ref="R58" si="27">M58*4</f>
        <v>0</v>
      </c>
      <c r="S58" s="14" t="s">
        <v>226</v>
      </c>
      <c r="T58" s="286">
        <v>21.94</v>
      </c>
      <c r="U58" s="27">
        <f t="shared" ref="U58" si="28">R58*T58</f>
        <v>0</v>
      </c>
      <c r="W58" s="437">
        <f t="shared" ref="W58" si="29">R58*10</f>
        <v>0</v>
      </c>
      <c r="X58" s="14" t="s">
        <v>226</v>
      </c>
      <c r="Y58" s="286">
        <v>21.94</v>
      </c>
      <c r="Z58" s="421">
        <f t="shared" ref="Z58" si="30">W58*Y58</f>
        <v>0</v>
      </c>
      <c r="AA58" s="423"/>
      <c r="AB58" s="425">
        <f t="shared" ref="AB58" si="31">AA58*Y58</f>
        <v>0</v>
      </c>
      <c r="AC58" s="423"/>
      <c r="AD58" s="424">
        <f t="shared" ref="AD58" si="32">AC58*Y58</f>
        <v>0</v>
      </c>
      <c r="AE58" s="12"/>
    </row>
    <row r="59" spans="1:31" ht="15.75" x14ac:dyDescent="0.25">
      <c r="P59" s="555">
        <f>P53+P58</f>
        <v>0</v>
      </c>
      <c r="U59" s="555">
        <f>U53+U58</f>
        <v>0</v>
      </c>
      <c r="Z59" s="556">
        <f>Z53+Z58</f>
        <v>0</v>
      </c>
    </row>
    <row r="202" spans="3:3" x14ac:dyDescent="0.25">
      <c r="C202" s="75"/>
    </row>
    <row r="233" spans="17:17" x14ac:dyDescent="0.25">
      <c r="Q233" s="75"/>
    </row>
  </sheetData>
  <mergeCells count="6">
    <mergeCell ref="A3:Z3"/>
    <mergeCell ref="W5:Z6"/>
    <mergeCell ref="AB5:AE6"/>
    <mergeCell ref="H5:K5"/>
    <mergeCell ref="C6:F6"/>
    <mergeCell ref="M5:Q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1"/>
  <sheetViews>
    <sheetView view="pageBreakPreview" topLeftCell="A253" zoomScale="90" zoomScaleSheetLayoutView="90" workbookViewId="0">
      <selection activeCell="P265" sqref="P265:P266"/>
    </sheetView>
  </sheetViews>
  <sheetFormatPr defaultRowHeight="15" x14ac:dyDescent="0.25"/>
  <cols>
    <col min="1" max="1" width="21.85546875" style="79" customWidth="1"/>
    <col min="2" max="2" width="13.140625" style="79" bestFit="1" customWidth="1"/>
    <col min="3" max="4" width="9.140625" style="79"/>
    <col min="5" max="5" width="7.85546875" style="79" customWidth="1"/>
    <col min="6" max="6" width="13.42578125" style="79" bestFit="1" customWidth="1"/>
    <col min="7" max="7" width="12.42578125" style="79" customWidth="1"/>
    <col min="8" max="8" width="12.28515625" style="79" customWidth="1"/>
    <col min="9" max="9" width="4.42578125" style="79" customWidth="1"/>
    <col min="10" max="11" width="15.42578125" style="79" customWidth="1"/>
    <col min="12" max="12" width="9.140625" style="79" customWidth="1"/>
    <col min="13" max="13" width="10.42578125" style="79" customWidth="1"/>
    <col min="14" max="14" width="13.28515625" style="79" bestFit="1" customWidth="1"/>
    <col min="15" max="15" width="12" style="79" customWidth="1"/>
    <col min="16" max="16" width="14.5703125" style="79" customWidth="1"/>
    <col min="17" max="17" width="16.140625" style="79" customWidth="1"/>
    <col min="18" max="18" width="2.85546875" style="79" customWidth="1"/>
    <col min="19" max="19" width="15.5703125" style="79" customWidth="1"/>
    <col min="20" max="20" width="15.42578125" style="79" customWidth="1"/>
    <col min="21" max="22" width="11.28515625" style="79" customWidth="1"/>
    <col min="23" max="23" width="9.140625" style="79"/>
    <col min="24" max="24" width="7.7109375" style="79" customWidth="1"/>
    <col min="25" max="25" width="11" style="79" customWidth="1"/>
    <col min="26" max="26" width="10.5703125" style="79" customWidth="1"/>
    <col min="27" max="27" width="13.5703125" style="79" bestFit="1" customWidth="1"/>
    <col min="28" max="16384" width="9.140625" style="79"/>
  </cols>
  <sheetData>
    <row r="1" spans="3:26" ht="21.75" x14ac:dyDescent="0.25">
      <c r="C1" s="80"/>
    </row>
    <row r="2" spans="3:26" ht="21.75" x14ac:dyDescent="0.25">
      <c r="C2" s="80"/>
    </row>
    <row r="3" spans="3:26" ht="21.75" x14ac:dyDescent="0.25">
      <c r="C3" s="80"/>
    </row>
    <row r="4" spans="3:26" ht="42.75" customHeight="1" x14ac:dyDescent="0.25">
      <c r="C4" s="80"/>
    </row>
    <row r="5" spans="3:26" ht="21.75" x14ac:dyDescent="0.25">
      <c r="C5" s="80"/>
    </row>
    <row r="6" spans="3:26" ht="15.75" customHeight="1" x14ac:dyDescent="0.25">
      <c r="C6" s="80"/>
    </row>
    <row r="7" spans="3:26" ht="21.75" x14ac:dyDescent="0.25">
      <c r="C7" s="80"/>
    </row>
    <row r="8" spans="3:26" ht="21.75" x14ac:dyDescent="0.25">
      <c r="C8" s="80"/>
    </row>
    <row r="9" spans="3:26" ht="21.75" x14ac:dyDescent="0.25">
      <c r="C9" s="80"/>
    </row>
    <row r="10" spans="3:26" ht="21.75" x14ac:dyDescent="0.25">
      <c r="C10" s="80"/>
    </row>
    <row r="11" spans="3:26" ht="21.75" x14ac:dyDescent="0.25">
      <c r="C11" s="80"/>
    </row>
    <row r="14" spans="3:26" ht="18.75" x14ac:dyDescent="0.25">
      <c r="N14" s="81"/>
    </row>
    <row r="15" spans="3:26" ht="51.75" customHeight="1" x14ac:dyDescent="0.25">
      <c r="S15" s="82"/>
      <c r="T15" s="82"/>
      <c r="U15" s="82"/>
      <c r="V15" s="82"/>
      <c r="W15" s="82"/>
      <c r="X15" s="82"/>
      <c r="Y15" s="82"/>
      <c r="Z15" s="82"/>
    </row>
    <row r="16" spans="3:26" ht="51.75" customHeight="1" x14ac:dyDescent="0.25">
      <c r="S16" s="82"/>
      <c r="T16" s="82"/>
      <c r="U16" s="82"/>
      <c r="V16" s="82"/>
      <c r="W16" s="82"/>
      <c r="X16" s="82"/>
      <c r="Y16" s="82"/>
      <c r="Z16" s="82"/>
    </row>
    <row r="17" spans="1:27" x14ac:dyDescent="0.25">
      <c r="P17" s="581"/>
      <c r="Q17" s="581"/>
      <c r="R17" s="581"/>
      <c r="S17" s="82"/>
      <c r="T17" s="82"/>
      <c r="U17" s="82"/>
      <c r="V17" s="82"/>
      <c r="W17" s="82"/>
      <c r="X17" s="82"/>
      <c r="Y17" s="82"/>
      <c r="Z17" s="82"/>
    </row>
    <row r="18" spans="1:27" x14ac:dyDescent="0.25">
      <c r="S18" s="82"/>
    </row>
    <row r="19" spans="1:27" x14ac:dyDescent="0.25">
      <c r="S19" s="82"/>
    </row>
    <row r="20" spans="1:27" x14ac:dyDescent="0.25">
      <c r="S20" s="82"/>
    </row>
    <row r="21" spans="1:27" ht="17.25" customHeight="1" x14ac:dyDescent="0.25">
      <c r="S21" s="82"/>
    </row>
    <row r="23" spans="1:27" ht="18" customHeight="1" x14ac:dyDescent="0.25"/>
    <row r="26" spans="1:27" ht="23.25" x14ac:dyDescent="0.25">
      <c r="B26" s="506" t="s">
        <v>79</v>
      </c>
      <c r="C26" s="513">
        <v>100</v>
      </c>
    </row>
    <row r="29" spans="1:27" ht="25.5" x14ac:dyDescent="0.25">
      <c r="A29" s="576" t="s">
        <v>23</v>
      </c>
      <c r="B29" s="576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6"/>
      <c r="AA29" s="576"/>
    </row>
    <row r="30" spans="1:27" x14ac:dyDescent="0.25">
      <c r="A30" s="83"/>
      <c r="B30" s="83"/>
      <c r="C30" s="83"/>
      <c r="D30" s="83"/>
      <c r="E30" s="83"/>
      <c r="F30" s="83"/>
    </row>
    <row r="31" spans="1:27" x14ac:dyDescent="0.25">
      <c r="A31" s="577" t="s">
        <v>59</v>
      </c>
      <c r="B31" s="577"/>
      <c r="C31" s="577"/>
      <c r="D31" s="577"/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7"/>
      <c r="W31" s="577"/>
      <c r="X31" s="577"/>
      <c r="Y31" s="577"/>
      <c r="Z31" s="577"/>
      <c r="AA31" s="577"/>
    </row>
    <row r="32" spans="1:27" s="85" customFormat="1" x14ac:dyDescent="0.25">
      <c r="A32" s="291"/>
      <c r="B32" s="291"/>
      <c r="C32" s="291"/>
      <c r="D32" s="291"/>
      <c r="E32" s="291"/>
      <c r="F32" s="291"/>
      <c r="G32" s="291"/>
      <c r="H32" s="291"/>
      <c r="I32" s="29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x14ac:dyDescent="0.25">
      <c r="A33" s="582" t="s">
        <v>101</v>
      </c>
      <c r="B33" s="583"/>
      <c r="C33" s="583"/>
      <c r="D33" s="583"/>
      <c r="E33" s="583"/>
      <c r="F33" s="583"/>
      <c r="G33" s="583"/>
      <c r="H33" s="584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25.5" x14ac:dyDescent="0.25">
      <c r="A34" s="86" t="s">
        <v>13</v>
      </c>
      <c r="B34" s="87" t="s">
        <v>45</v>
      </c>
      <c r="C34" s="88" t="s">
        <v>107</v>
      </c>
      <c r="D34" s="88" t="s">
        <v>108</v>
      </c>
      <c r="E34" s="585" t="s">
        <v>15</v>
      </c>
      <c r="F34" s="586"/>
      <c r="G34" s="86" t="s">
        <v>0</v>
      </c>
      <c r="H34" s="86" t="s">
        <v>1</v>
      </c>
      <c r="I34" s="89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27" x14ac:dyDescent="0.25">
      <c r="A35" s="90" t="s">
        <v>55</v>
      </c>
      <c r="B35" s="92">
        <v>35</v>
      </c>
      <c r="C35" s="92">
        <v>1</v>
      </c>
      <c r="D35" s="92">
        <f>B35*C35</f>
        <v>35</v>
      </c>
      <c r="E35" s="93">
        <f>D35*$C$26/500</f>
        <v>7</v>
      </c>
      <c r="F35" s="14" t="s">
        <v>56</v>
      </c>
      <c r="G35" s="94"/>
      <c r="H35" s="95">
        <f>D35*G35/500</f>
        <v>0</v>
      </c>
      <c r="I35" s="292"/>
      <c r="R35" s="84"/>
      <c r="S35" s="84"/>
      <c r="T35" s="84"/>
      <c r="U35" s="84"/>
      <c r="V35" s="84"/>
      <c r="W35" s="84"/>
      <c r="X35" s="84"/>
      <c r="Y35" s="84"/>
      <c r="Z35" s="84"/>
      <c r="AA35" s="84"/>
    </row>
    <row r="36" spans="1:27" x14ac:dyDescent="0.25">
      <c r="A36" s="90" t="s">
        <v>57</v>
      </c>
      <c r="B36" s="113">
        <v>0.5</v>
      </c>
      <c r="C36" s="113">
        <v>1</v>
      </c>
      <c r="D36" s="92">
        <f t="shared" ref="D36:D38" si="0">B36*C36</f>
        <v>0.5</v>
      </c>
      <c r="E36" s="93">
        <f>D36*$C$26/1000</f>
        <v>0.05</v>
      </c>
      <c r="F36" s="14" t="s">
        <v>25</v>
      </c>
      <c r="G36" s="94"/>
      <c r="H36" s="95">
        <f>D36*G36/1000</f>
        <v>0</v>
      </c>
      <c r="I36" s="44"/>
      <c r="R36" s="84"/>
      <c r="S36" s="84"/>
      <c r="T36" s="84"/>
      <c r="U36" s="84"/>
      <c r="V36" s="84"/>
      <c r="W36" s="84"/>
      <c r="X36" s="84"/>
      <c r="Y36" s="84"/>
      <c r="Z36" s="84"/>
      <c r="AA36" s="84"/>
    </row>
    <row r="37" spans="1:27" x14ac:dyDescent="0.25">
      <c r="A37" s="90" t="s">
        <v>58</v>
      </c>
      <c r="B37" s="113">
        <v>25</v>
      </c>
      <c r="C37" s="113">
        <v>1.1299999999999999</v>
      </c>
      <c r="D37" s="92">
        <f t="shared" si="0"/>
        <v>28.249999999999996</v>
      </c>
      <c r="E37" s="93">
        <f>D37*$C$26/1500</f>
        <v>1.8833333333333331</v>
      </c>
      <c r="F37" s="57" t="s">
        <v>148</v>
      </c>
      <c r="G37" s="94"/>
      <c r="H37" s="95">
        <f>D37*G37/1500</f>
        <v>0</v>
      </c>
      <c r="I37" s="45"/>
      <c r="R37" s="84"/>
      <c r="S37" s="84"/>
      <c r="T37" s="84"/>
      <c r="U37" s="84"/>
      <c r="V37" s="84"/>
      <c r="W37" s="84"/>
      <c r="X37" s="84"/>
      <c r="Y37" s="84"/>
      <c r="Z37" s="84"/>
      <c r="AA37" s="84"/>
    </row>
    <row r="38" spans="1:27" x14ac:dyDescent="0.25">
      <c r="A38" s="90" t="s">
        <v>54</v>
      </c>
      <c r="B38" s="92">
        <v>4</v>
      </c>
      <c r="C38" s="92">
        <v>1</v>
      </c>
      <c r="D38" s="92">
        <f t="shared" si="0"/>
        <v>4</v>
      </c>
      <c r="E38" s="93">
        <f>D38*$C$26/500</f>
        <v>0.8</v>
      </c>
      <c r="F38" s="14" t="s">
        <v>56</v>
      </c>
      <c r="G38" s="94"/>
      <c r="H38" s="95">
        <f t="shared" ref="H38" si="1">D38*G38/500</f>
        <v>0</v>
      </c>
      <c r="R38" s="84"/>
      <c r="S38" s="84"/>
      <c r="T38" s="84"/>
      <c r="U38" s="84"/>
      <c r="V38" s="84"/>
      <c r="W38" s="84"/>
      <c r="X38" s="84"/>
      <c r="Y38" s="84"/>
      <c r="Z38" s="84"/>
      <c r="AA38" s="84"/>
    </row>
    <row r="39" spans="1:27" x14ac:dyDescent="0.25">
      <c r="A39" s="89"/>
      <c r="B39" s="89"/>
      <c r="C39" s="89"/>
      <c r="D39" s="89"/>
      <c r="E39" s="89"/>
      <c r="F39" s="89"/>
      <c r="G39" s="89"/>
      <c r="H39" s="9">
        <f>SUM(H35:H38)</f>
        <v>0</v>
      </c>
      <c r="R39" s="84"/>
      <c r="S39" s="84"/>
      <c r="T39" s="84"/>
      <c r="U39" s="84"/>
      <c r="V39" s="84"/>
      <c r="W39" s="84"/>
      <c r="X39" s="84"/>
      <c r="Y39" s="84"/>
      <c r="Z39" s="84"/>
      <c r="AA39" s="84"/>
    </row>
    <row r="40" spans="1:27" x14ac:dyDescent="0.25">
      <c r="A40" s="98"/>
      <c r="B40" s="99"/>
      <c r="C40" s="99"/>
      <c r="D40" s="99"/>
      <c r="E40" s="89"/>
      <c r="F40" s="89"/>
      <c r="H40" s="46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</row>
    <row r="41" spans="1:27" x14ac:dyDescent="0.25">
      <c r="A41" s="577" t="s">
        <v>60</v>
      </c>
      <c r="B41" s="577"/>
      <c r="C41" s="577"/>
      <c r="D41" s="577"/>
      <c r="E41" s="577"/>
      <c r="F41" s="577"/>
      <c r="G41" s="577"/>
      <c r="H41" s="577"/>
      <c r="I41" s="577"/>
      <c r="J41" s="577"/>
      <c r="K41" s="577"/>
      <c r="L41" s="577"/>
      <c r="M41" s="577"/>
      <c r="N41" s="577"/>
      <c r="O41" s="577"/>
      <c r="P41" s="577"/>
      <c r="Q41" s="577"/>
      <c r="R41" s="577"/>
      <c r="S41" s="577"/>
      <c r="T41" s="577"/>
      <c r="U41" s="577"/>
      <c r="V41" s="577"/>
      <c r="W41" s="577"/>
      <c r="X41" s="577"/>
      <c r="Y41" s="577"/>
      <c r="Z41" s="577"/>
      <c r="AA41" s="577"/>
    </row>
    <row r="42" spans="1:27" ht="15.75" thickBot="1" x14ac:dyDescent="0.3">
      <c r="B42" s="83"/>
      <c r="C42" s="83"/>
      <c r="D42" s="83"/>
      <c r="E42" s="83"/>
      <c r="F42" s="83"/>
    </row>
    <row r="43" spans="1:27" s="85" customFormat="1" ht="15.75" thickBot="1" x14ac:dyDescent="0.3">
      <c r="A43" s="582" t="s">
        <v>208</v>
      </c>
      <c r="B43" s="583"/>
      <c r="C43" s="583"/>
      <c r="D43" s="583"/>
      <c r="E43" s="583"/>
      <c r="F43" s="583"/>
      <c r="G43" s="583"/>
      <c r="H43" s="584"/>
      <c r="I43" s="100"/>
      <c r="J43" s="566" t="s">
        <v>61</v>
      </c>
      <c r="K43" s="567"/>
      <c r="L43" s="567"/>
      <c r="M43" s="567"/>
      <c r="N43" s="567"/>
      <c r="O43" s="567"/>
      <c r="P43" s="567"/>
      <c r="Q43" s="568"/>
      <c r="R43" s="79"/>
      <c r="S43" s="566" t="s">
        <v>104</v>
      </c>
      <c r="T43" s="567"/>
      <c r="U43" s="567"/>
      <c r="V43" s="567"/>
      <c r="W43" s="567"/>
      <c r="X43" s="567"/>
      <c r="Y43" s="567"/>
      <c r="Z43" s="568"/>
    </row>
    <row r="44" spans="1:27" s="85" customFormat="1" ht="25.5" x14ac:dyDescent="0.25">
      <c r="A44" s="101" t="s">
        <v>13</v>
      </c>
      <c r="B44" s="102" t="s">
        <v>45</v>
      </c>
      <c r="C44" s="103" t="s">
        <v>107</v>
      </c>
      <c r="D44" s="103" t="s">
        <v>108</v>
      </c>
      <c r="E44" s="585" t="s">
        <v>15</v>
      </c>
      <c r="F44" s="586"/>
      <c r="G44" s="101" t="s">
        <v>0</v>
      </c>
      <c r="H44" s="101" t="s">
        <v>1</v>
      </c>
      <c r="I44" s="79"/>
      <c r="J44" s="101" t="s">
        <v>13</v>
      </c>
      <c r="K44" s="102" t="s">
        <v>45</v>
      </c>
      <c r="L44" s="103" t="s">
        <v>107</v>
      </c>
      <c r="M44" s="103" t="s">
        <v>108</v>
      </c>
      <c r="N44" s="569" t="s">
        <v>15</v>
      </c>
      <c r="O44" s="570"/>
      <c r="P44" s="101" t="s">
        <v>0</v>
      </c>
      <c r="Q44" s="101" t="s">
        <v>1</v>
      </c>
      <c r="R44" s="79"/>
      <c r="S44" s="101" t="s">
        <v>13</v>
      </c>
      <c r="T44" s="102" t="s">
        <v>45</v>
      </c>
      <c r="U44" s="103" t="s">
        <v>107</v>
      </c>
      <c r="V44" s="103" t="s">
        <v>108</v>
      </c>
      <c r="W44" s="569" t="s">
        <v>15</v>
      </c>
      <c r="X44" s="570"/>
      <c r="Y44" s="101" t="s">
        <v>0</v>
      </c>
      <c r="Z44" s="101" t="s">
        <v>1</v>
      </c>
    </row>
    <row r="45" spans="1:27" s="85" customFormat="1" x14ac:dyDescent="0.25">
      <c r="A45" s="104" t="s">
        <v>46</v>
      </c>
      <c r="B45" s="96">
        <v>25</v>
      </c>
      <c r="C45" s="113">
        <v>1.18</v>
      </c>
      <c r="D45" s="105">
        <f>B45*C45</f>
        <v>29.5</v>
      </c>
      <c r="E45" s="93">
        <f>D45*$C$26/1000</f>
        <v>2.95</v>
      </c>
      <c r="F45" s="14" t="s">
        <v>25</v>
      </c>
      <c r="G45" s="106"/>
      <c r="H45" s="15">
        <f>D45*G45/1000</f>
        <v>0</v>
      </c>
      <c r="I45" s="79"/>
      <c r="J45" s="90" t="s">
        <v>49</v>
      </c>
      <c r="K45" s="91">
        <v>20</v>
      </c>
      <c r="L45" s="92">
        <v>1</v>
      </c>
      <c r="M45" s="92">
        <f>K45*L45</f>
        <v>20</v>
      </c>
      <c r="N45" s="93">
        <f>M45*$C$26/1000</f>
        <v>2</v>
      </c>
      <c r="O45" s="14" t="s">
        <v>25</v>
      </c>
      <c r="P45" s="106"/>
      <c r="Q45" s="15">
        <f>M45*P45/1000</f>
        <v>0</v>
      </c>
      <c r="R45" s="79"/>
      <c r="S45" s="104" t="s">
        <v>41</v>
      </c>
      <c r="T45" s="96">
        <v>15</v>
      </c>
      <c r="U45" s="113">
        <v>1</v>
      </c>
      <c r="V45" s="107">
        <f>T45*U45</f>
        <v>15</v>
      </c>
      <c r="W45" s="4">
        <f>V45*$C$26/1000</f>
        <v>1.5</v>
      </c>
      <c r="X45" s="91" t="s">
        <v>25</v>
      </c>
      <c r="Y45" s="106"/>
      <c r="Z45" s="15">
        <f>V45*Y45/1000</f>
        <v>0</v>
      </c>
    </row>
    <row r="46" spans="1:27" s="85" customFormat="1" x14ac:dyDescent="0.25">
      <c r="A46" s="104" t="s">
        <v>2</v>
      </c>
      <c r="B46" s="442">
        <v>4</v>
      </c>
      <c r="C46" s="113">
        <v>1.08</v>
      </c>
      <c r="D46" s="112">
        <f t="shared" ref="D46:D51" si="2">B46*C46</f>
        <v>4.32</v>
      </c>
      <c r="E46" s="93">
        <f>D46*$C$26/1000</f>
        <v>0.432</v>
      </c>
      <c r="F46" s="14" t="s">
        <v>25</v>
      </c>
      <c r="G46" s="108"/>
      <c r="H46" s="15">
        <f t="shared" ref="H46" si="3">D46*G46/1000</f>
        <v>0</v>
      </c>
      <c r="I46" s="79"/>
      <c r="J46" s="90" t="s">
        <v>5</v>
      </c>
      <c r="K46" s="96">
        <v>0.5</v>
      </c>
      <c r="L46" s="92">
        <v>1</v>
      </c>
      <c r="M46" s="92">
        <f>K46*L46</f>
        <v>0.5</v>
      </c>
      <c r="N46" s="93">
        <f>M46*$C$26/1000</f>
        <v>0.05</v>
      </c>
      <c r="O46" s="14" t="s">
        <v>25</v>
      </c>
      <c r="P46" s="106"/>
      <c r="Q46" s="15">
        <f t="shared" ref="Q46:Q48" si="4">M46*P46/1000</f>
        <v>0</v>
      </c>
      <c r="R46" s="79"/>
      <c r="S46" s="104" t="s">
        <v>52</v>
      </c>
      <c r="T46" s="96">
        <v>10</v>
      </c>
      <c r="U46" s="113">
        <v>1.1599999999999999</v>
      </c>
      <c r="V46" s="109">
        <f t="shared" ref="V46:V53" si="5">T46*U46</f>
        <v>11.6</v>
      </c>
      <c r="W46" s="4">
        <f>V46*$C$26/1000</f>
        <v>1.1599999999999999</v>
      </c>
      <c r="X46" s="91" t="s">
        <v>25</v>
      </c>
      <c r="Y46" s="106"/>
      <c r="Z46" s="15">
        <f t="shared" ref="Z46:Z52" si="6">V46*Y46/1000</f>
        <v>0</v>
      </c>
    </row>
    <row r="47" spans="1:27" s="85" customFormat="1" x14ac:dyDescent="0.25">
      <c r="A47" s="104" t="s">
        <v>3</v>
      </c>
      <c r="B47" s="91">
        <v>0.5</v>
      </c>
      <c r="C47" s="92">
        <v>1.18</v>
      </c>
      <c r="D47" s="112">
        <f t="shared" si="2"/>
        <v>0.59</v>
      </c>
      <c r="E47" s="93">
        <f>D47*$C$26/1000</f>
        <v>5.8999999999999997E-2</v>
      </c>
      <c r="F47" s="14" t="s">
        <v>25</v>
      </c>
      <c r="G47" s="108"/>
      <c r="H47" s="15">
        <f>D47*G47/1000</f>
        <v>0</v>
      </c>
      <c r="I47" s="79"/>
      <c r="J47" s="90" t="s">
        <v>3</v>
      </c>
      <c r="K47" s="91">
        <v>0.5</v>
      </c>
      <c r="L47" s="92">
        <v>1.18</v>
      </c>
      <c r="M47" s="111">
        <f>K47*L47</f>
        <v>0.59</v>
      </c>
      <c r="N47" s="93">
        <f>M47*$C$26/1000</f>
        <v>5.8999999999999997E-2</v>
      </c>
      <c r="O47" s="14" t="s">
        <v>25</v>
      </c>
      <c r="P47" s="106"/>
      <c r="Q47" s="15">
        <f t="shared" si="4"/>
        <v>0</v>
      </c>
      <c r="R47" s="79"/>
      <c r="S47" s="104" t="s">
        <v>51</v>
      </c>
      <c r="T47" s="442">
        <v>22</v>
      </c>
      <c r="U47" s="113">
        <v>1.35</v>
      </c>
      <c r="V47" s="109">
        <f t="shared" si="5"/>
        <v>29.700000000000003</v>
      </c>
      <c r="W47" s="4">
        <f>V47*$C$26/1000</f>
        <v>2.9700000000000006</v>
      </c>
      <c r="X47" s="91" t="s">
        <v>25</v>
      </c>
      <c r="Y47" s="108"/>
      <c r="Z47" s="15">
        <f t="shared" si="6"/>
        <v>0</v>
      </c>
    </row>
    <row r="48" spans="1:27" s="85" customFormat="1" x14ac:dyDescent="0.25">
      <c r="A48" s="104" t="s">
        <v>47</v>
      </c>
      <c r="B48" s="96">
        <v>0.7</v>
      </c>
      <c r="C48" s="113">
        <v>1</v>
      </c>
      <c r="D48" s="113">
        <f t="shared" si="2"/>
        <v>0.7</v>
      </c>
      <c r="E48" s="93">
        <f>D48*$C$26/100</f>
        <v>0.7</v>
      </c>
      <c r="F48" s="14" t="s">
        <v>36</v>
      </c>
      <c r="G48" s="108"/>
      <c r="H48" s="15">
        <f>D48*G48/100</f>
        <v>0</v>
      </c>
      <c r="I48" s="79"/>
      <c r="J48" s="90" t="s">
        <v>2</v>
      </c>
      <c r="K48" s="442">
        <v>4</v>
      </c>
      <c r="L48" s="92">
        <v>1.08</v>
      </c>
      <c r="M48" s="111">
        <f>K48*L48</f>
        <v>4.32</v>
      </c>
      <c r="N48" s="93">
        <f>M48*$C$26/1000</f>
        <v>0.432</v>
      </c>
      <c r="O48" s="14" t="s">
        <v>25</v>
      </c>
      <c r="P48" s="106"/>
      <c r="Q48" s="15">
        <f t="shared" si="4"/>
        <v>0</v>
      </c>
      <c r="R48" s="79"/>
      <c r="S48" s="104" t="s">
        <v>2</v>
      </c>
      <c r="T48" s="442">
        <v>4</v>
      </c>
      <c r="U48" s="113">
        <v>1.08</v>
      </c>
      <c r="V48" s="109">
        <f t="shared" si="5"/>
        <v>4.32</v>
      </c>
      <c r="W48" s="4">
        <f>V48*$C$26/1000</f>
        <v>0.432</v>
      </c>
      <c r="X48" s="91" t="s">
        <v>25</v>
      </c>
      <c r="Y48" s="108"/>
      <c r="Z48" s="15">
        <f t="shared" si="6"/>
        <v>0</v>
      </c>
    </row>
    <row r="49" spans="1:27" s="85" customFormat="1" x14ac:dyDescent="0.25">
      <c r="A49" s="104" t="s">
        <v>5</v>
      </c>
      <c r="B49" s="96">
        <v>1</v>
      </c>
      <c r="C49" s="113">
        <v>1</v>
      </c>
      <c r="D49" s="113">
        <f t="shared" si="2"/>
        <v>1</v>
      </c>
      <c r="E49" s="93">
        <f>D49*$C$26/1000</f>
        <v>0.1</v>
      </c>
      <c r="F49" s="14" t="s">
        <v>25</v>
      </c>
      <c r="G49" s="108"/>
      <c r="H49" s="15">
        <f>D49*G49/1000</f>
        <v>0</v>
      </c>
      <c r="I49" s="79"/>
      <c r="J49" s="90" t="s">
        <v>127</v>
      </c>
      <c r="K49" s="96">
        <v>2</v>
      </c>
      <c r="L49" s="92">
        <v>1</v>
      </c>
      <c r="M49" s="92">
        <f>K49*L49</f>
        <v>2</v>
      </c>
      <c r="N49" s="93">
        <f>M49*$C$26/900</f>
        <v>0.22222222222222221</v>
      </c>
      <c r="O49" s="14" t="s">
        <v>40</v>
      </c>
      <c r="P49" s="106"/>
      <c r="Q49" s="15">
        <f>M49*P49/900</f>
        <v>0</v>
      </c>
      <c r="R49" s="79"/>
      <c r="S49" s="104" t="s">
        <v>3</v>
      </c>
      <c r="T49" s="91">
        <v>0.5</v>
      </c>
      <c r="U49" s="92">
        <v>1.18</v>
      </c>
      <c r="V49" s="114">
        <f t="shared" si="5"/>
        <v>0.59</v>
      </c>
      <c r="W49" s="93">
        <f>V49*$C$26/1000</f>
        <v>5.8999999999999997E-2</v>
      </c>
      <c r="X49" s="91" t="s">
        <v>25</v>
      </c>
      <c r="Y49" s="106"/>
      <c r="Z49" s="15">
        <f t="shared" si="6"/>
        <v>0</v>
      </c>
    </row>
    <row r="50" spans="1:27" s="85" customFormat="1" x14ac:dyDescent="0.25">
      <c r="A50" s="104" t="s">
        <v>10</v>
      </c>
      <c r="B50" s="443">
        <v>8</v>
      </c>
      <c r="C50" s="113">
        <v>1.18</v>
      </c>
      <c r="D50" s="113">
        <f t="shared" si="2"/>
        <v>9.44</v>
      </c>
      <c r="E50" s="93">
        <f>D50*$C$26/1000</f>
        <v>0.94399999999999995</v>
      </c>
      <c r="F50" s="14" t="s">
        <v>16</v>
      </c>
      <c r="G50" s="108"/>
      <c r="H50" s="15">
        <f>D50*G50/1000</f>
        <v>0</v>
      </c>
      <c r="I50" s="79"/>
      <c r="J50" s="79"/>
      <c r="K50" s="79"/>
      <c r="L50" s="79"/>
      <c r="M50" s="79"/>
      <c r="N50" s="79"/>
      <c r="O50" s="79"/>
      <c r="P50" s="79"/>
      <c r="Q50" s="47">
        <f>SUM(Q45:Q49)</f>
        <v>0</v>
      </c>
      <c r="R50" s="79"/>
      <c r="S50" s="104" t="s">
        <v>127</v>
      </c>
      <c r="T50" s="96">
        <v>2</v>
      </c>
      <c r="U50" s="113">
        <v>1</v>
      </c>
      <c r="V50" s="107">
        <f t="shared" si="5"/>
        <v>2</v>
      </c>
      <c r="W50" s="93">
        <f>V50*$C$26/900</f>
        <v>0.22222222222222221</v>
      </c>
      <c r="X50" s="14" t="s">
        <v>40</v>
      </c>
      <c r="Y50" s="108"/>
      <c r="Z50" s="15">
        <f>V50*Y50/900</f>
        <v>0</v>
      </c>
    </row>
    <row r="51" spans="1:27" s="85" customFormat="1" ht="15.75" thickBot="1" x14ac:dyDescent="0.3">
      <c r="A51" s="104" t="s">
        <v>54</v>
      </c>
      <c r="B51" s="96">
        <v>2</v>
      </c>
      <c r="C51" s="113">
        <v>1</v>
      </c>
      <c r="D51" s="113">
        <f t="shared" si="2"/>
        <v>2</v>
      </c>
      <c r="E51" s="93">
        <f>D51*$C$26/500</f>
        <v>0.4</v>
      </c>
      <c r="F51" s="14" t="s">
        <v>56</v>
      </c>
      <c r="G51" s="108"/>
      <c r="H51" s="15">
        <f>D51*G51/500</f>
        <v>0</v>
      </c>
      <c r="J51" s="79"/>
      <c r="K51" s="79"/>
      <c r="L51" s="79"/>
      <c r="M51" s="79"/>
      <c r="N51" s="79"/>
      <c r="O51" s="79"/>
      <c r="P51" s="79"/>
      <c r="Q51" s="79"/>
      <c r="R51" s="79"/>
      <c r="S51" s="104" t="s">
        <v>5</v>
      </c>
      <c r="T51" s="96">
        <v>0.5</v>
      </c>
      <c r="U51" s="113">
        <v>1</v>
      </c>
      <c r="V51" s="107">
        <f t="shared" si="5"/>
        <v>0.5</v>
      </c>
      <c r="W51" s="4">
        <f>V51*$C$26/1000</f>
        <v>0.05</v>
      </c>
      <c r="X51" s="91" t="s">
        <v>25</v>
      </c>
      <c r="Y51" s="108"/>
      <c r="Z51" s="15">
        <f t="shared" ref="Z51" si="7">V51*Y51/1000</f>
        <v>0</v>
      </c>
    </row>
    <row r="52" spans="1:27" s="85" customFormat="1" ht="15.75" thickBot="1" x14ac:dyDescent="0.3">
      <c r="A52" s="104" t="s">
        <v>128</v>
      </c>
      <c r="B52" s="96">
        <v>1</v>
      </c>
      <c r="C52" s="113">
        <v>1</v>
      </c>
      <c r="D52" s="113">
        <f>B52*C52</f>
        <v>1</v>
      </c>
      <c r="E52" s="93">
        <f>D52*$C$26/900</f>
        <v>0.1111111111111111</v>
      </c>
      <c r="F52" s="14" t="s">
        <v>40</v>
      </c>
      <c r="G52" s="108"/>
      <c r="H52" s="15">
        <f>D52*G52/900</f>
        <v>0</v>
      </c>
      <c r="J52" s="566" t="s">
        <v>27</v>
      </c>
      <c r="K52" s="567"/>
      <c r="L52" s="567"/>
      <c r="M52" s="567"/>
      <c r="N52" s="567"/>
      <c r="O52" s="567"/>
      <c r="P52" s="567"/>
      <c r="Q52" s="568"/>
      <c r="R52" s="79"/>
      <c r="S52" s="104" t="s">
        <v>10</v>
      </c>
      <c r="T52" s="443">
        <v>8</v>
      </c>
      <c r="U52" s="113">
        <v>1.18</v>
      </c>
      <c r="V52" s="114">
        <f t="shared" si="5"/>
        <v>9.44</v>
      </c>
      <c r="W52" s="4">
        <f>V52*$C$26/1000</f>
        <v>0.94399999999999995</v>
      </c>
      <c r="X52" s="91" t="s">
        <v>25</v>
      </c>
      <c r="Y52" s="108"/>
      <c r="Z52" s="15">
        <f t="shared" si="6"/>
        <v>0</v>
      </c>
    </row>
    <row r="53" spans="1:27" s="85" customFormat="1" ht="25.5" x14ac:dyDescent="0.25">
      <c r="A53" s="104" t="s">
        <v>26</v>
      </c>
      <c r="B53" s="96">
        <v>4</v>
      </c>
      <c r="C53" s="113">
        <v>1</v>
      </c>
      <c r="D53" s="113">
        <f t="shared" ref="D53:D54" si="8">B53*C53</f>
        <v>4</v>
      </c>
      <c r="E53" s="93">
        <f>D53*$C$26/400</f>
        <v>1</v>
      </c>
      <c r="F53" s="14" t="s">
        <v>161</v>
      </c>
      <c r="G53" s="108"/>
      <c r="H53" s="15">
        <f>D53*G53/400</f>
        <v>0</v>
      </c>
      <c r="J53" s="101" t="s">
        <v>13</v>
      </c>
      <c r="K53" s="102" t="s">
        <v>45</v>
      </c>
      <c r="L53" s="103" t="s">
        <v>107</v>
      </c>
      <c r="M53" s="103" t="s">
        <v>108</v>
      </c>
      <c r="N53" s="569" t="s">
        <v>15</v>
      </c>
      <c r="O53" s="570"/>
      <c r="P53" s="101" t="s">
        <v>0</v>
      </c>
      <c r="Q53" s="101" t="s">
        <v>1</v>
      </c>
      <c r="R53" s="79"/>
      <c r="S53" s="104" t="s">
        <v>12</v>
      </c>
      <c r="T53" s="96">
        <v>0.4</v>
      </c>
      <c r="U53" s="113">
        <v>1.35</v>
      </c>
      <c r="V53" s="114">
        <f t="shared" si="5"/>
        <v>0.54</v>
      </c>
      <c r="W53" s="4">
        <f>V53*$C$26/30</f>
        <v>1.8</v>
      </c>
      <c r="X53" s="91" t="s">
        <v>109</v>
      </c>
      <c r="Y53" s="108"/>
      <c r="Z53" s="15">
        <f>V53*Y53/30</f>
        <v>0</v>
      </c>
    </row>
    <row r="54" spans="1:27" s="85" customFormat="1" x14ac:dyDescent="0.25">
      <c r="A54" s="104" t="s">
        <v>32</v>
      </c>
      <c r="B54" s="96">
        <v>1</v>
      </c>
      <c r="C54" s="113">
        <v>1</v>
      </c>
      <c r="D54" s="113">
        <f t="shared" si="8"/>
        <v>1</v>
      </c>
      <c r="E54" s="93">
        <f>D54*$C$26/200</f>
        <v>0.5</v>
      </c>
      <c r="F54" s="14" t="s">
        <v>211</v>
      </c>
      <c r="G54" s="108"/>
      <c r="H54" s="15">
        <f>D54*G54/200</f>
        <v>0</v>
      </c>
      <c r="J54" s="104" t="s">
        <v>27</v>
      </c>
      <c r="K54" s="96">
        <v>60</v>
      </c>
      <c r="L54" s="113">
        <v>1.55</v>
      </c>
      <c r="M54" s="113">
        <f>K54*L54</f>
        <v>93</v>
      </c>
      <c r="N54" s="4">
        <f>M54*$C$26/1000</f>
        <v>9.3000000000000007</v>
      </c>
      <c r="O54" s="14" t="s">
        <v>25</v>
      </c>
      <c r="P54" s="106"/>
      <c r="Q54" s="17">
        <f>M54*P54/1000</f>
        <v>0</v>
      </c>
      <c r="R54" s="79"/>
      <c r="S54" s="156"/>
      <c r="T54" s="152"/>
      <c r="U54" s="152"/>
      <c r="V54" s="448"/>
      <c r="W54" s="449"/>
      <c r="X54" s="12"/>
      <c r="Y54" s="147"/>
      <c r="Z54" s="459">
        <f>SUM(Z45:Z53)</f>
        <v>0</v>
      </c>
    </row>
    <row r="55" spans="1:27" s="85" customFormat="1" x14ac:dyDescent="0.25">
      <c r="A55" s="402"/>
      <c r="B55" s="397"/>
      <c r="C55" s="397"/>
      <c r="D55" s="397"/>
      <c r="E55" s="403"/>
      <c r="F55" s="397"/>
      <c r="G55" s="404"/>
      <c r="H55" s="400">
        <f>SUM(H45:H54)</f>
        <v>0</v>
      </c>
      <c r="J55" s="402"/>
      <c r="K55" s="12"/>
      <c r="L55" s="12"/>
      <c r="M55" s="121"/>
      <c r="N55" s="131"/>
      <c r="O55" s="397"/>
      <c r="P55" s="132"/>
      <c r="Q55" s="18">
        <f>SUM(Q54)</f>
        <v>0</v>
      </c>
      <c r="R55" s="79"/>
      <c r="S55" s="120"/>
      <c r="T55" s="121"/>
      <c r="U55" s="121"/>
      <c r="V55" s="131"/>
      <c r="W55" s="131"/>
      <c r="X55" s="12"/>
      <c r="Y55" s="132"/>
      <c r="Z55" s="401"/>
    </row>
    <row r="56" spans="1:27" s="85" customFormat="1" ht="18.75" customHeight="1" x14ac:dyDescent="0.25">
      <c r="A56" s="120"/>
      <c r="B56" s="121"/>
      <c r="C56" s="121"/>
      <c r="D56" s="121"/>
      <c r="E56" s="133"/>
      <c r="F56" s="12"/>
      <c r="G56" s="132"/>
      <c r="H56" s="41"/>
      <c r="R56" s="79"/>
      <c r="S56" s="79"/>
      <c r="T56" s="79"/>
      <c r="U56" s="79"/>
      <c r="V56" s="79"/>
      <c r="W56" s="79"/>
      <c r="X56" s="79"/>
      <c r="Y56" s="79"/>
      <c r="Z56" s="48"/>
    </row>
    <row r="57" spans="1:27" s="85" customFormat="1" x14ac:dyDescent="0.25">
      <c r="A57" s="79"/>
      <c r="B57" s="79"/>
      <c r="C57" s="79"/>
      <c r="D57" s="79"/>
      <c r="E57" s="115"/>
      <c r="F57" s="115"/>
      <c r="G57" s="116"/>
      <c r="H57" s="405"/>
      <c r="J57" s="38"/>
      <c r="K57" s="38"/>
      <c r="L57" s="38"/>
      <c r="M57" s="100"/>
      <c r="N57" s="117"/>
      <c r="O57" s="118"/>
      <c r="P57" s="119"/>
      <c r="Q57" s="43"/>
      <c r="R57" s="79"/>
      <c r="S57" s="79"/>
      <c r="T57" s="79"/>
      <c r="U57" s="79"/>
      <c r="V57" s="79"/>
      <c r="W57" s="79"/>
      <c r="X57" s="79"/>
      <c r="Y57" s="79"/>
      <c r="Z57" s="79"/>
    </row>
    <row r="58" spans="1:27" s="85" customFormat="1" ht="30" customHeight="1" x14ac:dyDescent="0.25"/>
    <row r="59" spans="1:27" s="85" customFormat="1" x14ac:dyDescent="0.25">
      <c r="A59" s="577" t="s">
        <v>62</v>
      </c>
      <c r="B59" s="577"/>
      <c r="C59" s="577"/>
      <c r="D59" s="577"/>
      <c r="E59" s="577"/>
      <c r="F59" s="577"/>
      <c r="G59" s="577"/>
      <c r="H59" s="577"/>
      <c r="I59" s="577"/>
      <c r="J59" s="577"/>
      <c r="K59" s="577"/>
      <c r="L59" s="577"/>
      <c r="M59" s="577"/>
      <c r="N59" s="577"/>
      <c r="O59" s="577"/>
      <c r="P59" s="577"/>
      <c r="Q59" s="577"/>
      <c r="R59" s="577"/>
      <c r="S59" s="577"/>
      <c r="T59" s="577"/>
      <c r="U59" s="577"/>
      <c r="V59" s="577"/>
      <c r="W59" s="577"/>
      <c r="X59" s="577"/>
      <c r="Y59" s="577"/>
      <c r="Z59" s="577"/>
      <c r="AA59" s="577"/>
    </row>
    <row r="60" spans="1:27" ht="15.75" thickBot="1" x14ac:dyDescent="0.3">
      <c r="J60" s="129"/>
      <c r="K60" s="129"/>
      <c r="L60" s="129"/>
      <c r="M60" s="129"/>
      <c r="N60" s="571"/>
      <c r="O60" s="571"/>
      <c r="P60" s="129"/>
      <c r="Q60" s="129"/>
    </row>
    <row r="61" spans="1:27" s="85" customFormat="1" ht="15.75" thickBot="1" x14ac:dyDescent="0.3">
      <c r="A61" s="566" t="s">
        <v>220</v>
      </c>
      <c r="B61" s="567"/>
      <c r="C61" s="567"/>
      <c r="D61" s="567"/>
      <c r="E61" s="567"/>
      <c r="F61" s="567"/>
      <c r="G61" s="567"/>
      <c r="H61" s="568"/>
      <c r="J61" s="566" t="s">
        <v>117</v>
      </c>
      <c r="K61" s="567"/>
      <c r="L61" s="567"/>
      <c r="M61" s="567"/>
      <c r="N61" s="567"/>
      <c r="O61" s="567"/>
      <c r="P61" s="567"/>
      <c r="Q61" s="568"/>
    </row>
    <row r="62" spans="1:27" s="85" customFormat="1" ht="25.5" x14ac:dyDescent="0.25">
      <c r="A62" s="101" t="s">
        <v>13</v>
      </c>
      <c r="B62" s="102" t="s">
        <v>45</v>
      </c>
      <c r="C62" s="102" t="s">
        <v>107</v>
      </c>
      <c r="D62" s="102" t="s">
        <v>108</v>
      </c>
      <c r="E62" s="569" t="s">
        <v>15</v>
      </c>
      <c r="F62" s="570"/>
      <c r="G62" s="101" t="s">
        <v>0</v>
      </c>
      <c r="H62" s="101" t="s">
        <v>1</v>
      </c>
      <c r="J62" s="101" t="s">
        <v>13</v>
      </c>
      <c r="K62" s="102" t="s">
        <v>45</v>
      </c>
      <c r="L62" s="102" t="s">
        <v>107</v>
      </c>
      <c r="M62" s="102" t="s">
        <v>108</v>
      </c>
      <c r="N62" s="579" t="s">
        <v>15</v>
      </c>
      <c r="O62" s="580"/>
      <c r="P62" s="101" t="s">
        <v>0</v>
      </c>
      <c r="Q62" s="101" t="s">
        <v>1</v>
      </c>
    </row>
    <row r="63" spans="1:27" s="85" customFormat="1" x14ac:dyDescent="0.25">
      <c r="A63" s="90" t="s">
        <v>30</v>
      </c>
      <c r="B63" s="445">
        <v>30</v>
      </c>
      <c r="C63" s="92">
        <v>1</v>
      </c>
      <c r="D63" s="92">
        <f t="shared" ref="D63:D73" si="9">B63*C63</f>
        <v>30</v>
      </c>
      <c r="E63" s="39">
        <f>D63*$C$26/500</f>
        <v>6</v>
      </c>
      <c r="F63" s="14" t="s">
        <v>35</v>
      </c>
      <c r="G63" s="108"/>
      <c r="H63" s="108">
        <f>D63*G63/500</f>
        <v>0</v>
      </c>
      <c r="J63" s="104" t="s">
        <v>118</v>
      </c>
      <c r="K63" s="91">
        <v>40</v>
      </c>
      <c r="L63" s="113">
        <v>1</v>
      </c>
      <c r="M63" s="113">
        <f>K63*L63</f>
        <v>40</v>
      </c>
      <c r="N63" s="39">
        <f>M63*$C$26/1000</f>
        <v>4</v>
      </c>
      <c r="O63" s="91" t="s">
        <v>25</v>
      </c>
      <c r="P63" s="108"/>
      <c r="Q63" s="159">
        <f>M63*P63/1000</f>
        <v>0</v>
      </c>
    </row>
    <row r="64" spans="1:27" s="85" customFormat="1" ht="18.75" x14ac:dyDescent="0.25">
      <c r="A64" s="8" t="s">
        <v>106</v>
      </c>
      <c r="B64" s="440">
        <v>25</v>
      </c>
      <c r="C64" s="113">
        <v>1</v>
      </c>
      <c r="D64" s="92">
        <f t="shared" si="9"/>
        <v>25</v>
      </c>
      <c r="E64" s="39">
        <f>D64*$C$26/1000</f>
        <v>2.5</v>
      </c>
      <c r="F64" s="14" t="s">
        <v>25</v>
      </c>
      <c r="G64" s="108"/>
      <c r="H64" s="108">
        <f>D64*G64/1000</f>
        <v>0</v>
      </c>
      <c r="J64" s="104" t="s">
        <v>28</v>
      </c>
      <c r="K64" s="96">
        <v>15</v>
      </c>
      <c r="L64" s="113">
        <v>1</v>
      </c>
      <c r="M64" s="113">
        <f>K64*L64</f>
        <v>15</v>
      </c>
      <c r="N64" s="39">
        <f>M64*$C$26/1000</f>
        <v>1.5</v>
      </c>
      <c r="O64" s="91" t="s">
        <v>25</v>
      </c>
      <c r="P64" s="108"/>
      <c r="Q64" s="159">
        <f>M64*P64/1000</f>
        <v>0</v>
      </c>
      <c r="U64" s="406"/>
    </row>
    <row r="65" spans="1:27" s="85" customFormat="1" x14ac:dyDescent="0.25">
      <c r="A65" s="90" t="s">
        <v>3</v>
      </c>
      <c r="B65" s="446">
        <v>1</v>
      </c>
      <c r="C65" s="92">
        <v>1.18</v>
      </c>
      <c r="D65" s="92">
        <f t="shared" si="9"/>
        <v>1.18</v>
      </c>
      <c r="E65" s="39">
        <f>D65*$C$26/1000</f>
        <v>0.11799999999999999</v>
      </c>
      <c r="F65" s="14" t="s">
        <v>25</v>
      </c>
      <c r="G65" s="461"/>
      <c r="H65" s="108">
        <f>D65*G65/1000</f>
        <v>0</v>
      </c>
      <c r="J65" s="120"/>
      <c r="K65" s="120"/>
      <c r="L65" s="120"/>
      <c r="M65" s="120"/>
      <c r="N65" s="131"/>
      <c r="O65" s="115"/>
      <c r="P65" s="128"/>
      <c r="Q65" s="47">
        <f>SUM(Q63:Q64)</f>
        <v>0</v>
      </c>
    </row>
    <row r="66" spans="1:27" s="85" customFormat="1" x14ac:dyDescent="0.25">
      <c r="A66" s="104" t="s">
        <v>12</v>
      </c>
      <c r="B66" s="440">
        <v>0.4</v>
      </c>
      <c r="C66" s="113">
        <v>1.35</v>
      </c>
      <c r="D66" s="111">
        <f t="shared" si="9"/>
        <v>0.54</v>
      </c>
      <c r="E66" s="39">
        <f>D66*$C$26/30</f>
        <v>1.8</v>
      </c>
      <c r="F66" s="91" t="s">
        <v>109</v>
      </c>
      <c r="G66" s="462"/>
      <c r="H66" s="108">
        <f>D66*G66/30</f>
        <v>0</v>
      </c>
      <c r="J66" s="571"/>
      <c r="K66" s="571"/>
      <c r="L66" s="571"/>
      <c r="M66" s="571"/>
      <c r="N66" s="571"/>
      <c r="O66" s="571"/>
      <c r="P66" s="571"/>
      <c r="Q66" s="571"/>
    </row>
    <row r="67" spans="1:27" s="85" customFormat="1" x14ac:dyDescent="0.25">
      <c r="A67" s="90" t="s">
        <v>6</v>
      </c>
      <c r="B67" s="440">
        <v>0.7</v>
      </c>
      <c r="C67" s="113">
        <v>1</v>
      </c>
      <c r="D67" s="92">
        <f t="shared" si="9"/>
        <v>0.7</v>
      </c>
      <c r="E67" s="39">
        <f>D67*$C$26/100</f>
        <v>0.7</v>
      </c>
      <c r="F67" s="14" t="s">
        <v>36</v>
      </c>
      <c r="G67" s="108"/>
      <c r="H67" s="108">
        <f>D67*G67/100</f>
        <v>0</v>
      </c>
      <c r="J67" s="291"/>
      <c r="K67" s="291"/>
      <c r="L67" s="291"/>
      <c r="M67" s="291"/>
      <c r="N67" s="291"/>
      <c r="O67" s="291"/>
      <c r="P67" s="291"/>
      <c r="Q67" s="291"/>
    </row>
    <row r="68" spans="1:27" s="85" customFormat="1" x14ac:dyDescent="0.25">
      <c r="A68" s="90" t="s">
        <v>9</v>
      </c>
      <c r="B68" s="445">
        <v>2</v>
      </c>
      <c r="C68" s="92">
        <v>1.43</v>
      </c>
      <c r="D68" s="97">
        <f t="shared" si="9"/>
        <v>2.86</v>
      </c>
      <c r="E68" s="39">
        <f>D68*$C$26/1000</f>
        <v>0.28599999999999998</v>
      </c>
      <c r="F68" s="14" t="s">
        <v>25</v>
      </c>
      <c r="G68" s="108"/>
      <c r="H68" s="108">
        <f>D68*G68/1000</f>
        <v>0</v>
      </c>
      <c r="J68" s="291"/>
      <c r="K68" s="291"/>
      <c r="L68" s="291"/>
      <c r="M68" s="291"/>
      <c r="N68" s="291"/>
      <c r="O68" s="291"/>
      <c r="P68" s="291"/>
      <c r="Q68" s="291"/>
    </row>
    <row r="69" spans="1:27" s="85" customFormat="1" x14ac:dyDescent="0.25">
      <c r="A69" s="90" t="s">
        <v>2</v>
      </c>
      <c r="B69" s="444">
        <v>8</v>
      </c>
      <c r="C69" s="92">
        <v>1.08</v>
      </c>
      <c r="D69" s="97">
        <f t="shared" si="9"/>
        <v>8.64</v>
      </c>
      <c r="E69" s="39">
        <f>D69*$C$26/1000</f>
        <v>0.86399999999999999</v>
      </c>
      <c r="F69" s="14" t="s">
        <v>25</v>
      </c>
      <c r="G69" s="108"/>
      <c r="H69" s="108">
        <f>D69*G69/1000</f>
        <v>0</v>
      </c>
      <c r="J69" s="291"/>
      <c r="K69" s="291"/>
      <c r="L69" s="291"/>
      <c r="M69" s="291"/>
      <c r="N69" s="291"/>
      <c r="O69" s="291"/>
      <c r="P69" s="291"/>
      <c r="Q69" s="291"/>
    </row>
    <row r="70" spans="1:27" s="85" customFormat="1" x14ac:dyDescent="0.25">
      <c r="A70" s="90" t="s">
        <v>127</v>
      </c>
      <c r="B70" s="440">
        <v>2</v>
      </c>
      <c r="C70" s="113">
        <v>1</v>
      </c>
      <c r="D70" s="97">
        <f t="shared" si="9"/>
        <v>2</v>
      </c>
      <c r="E70" s="39">
        <f>D70*$C$26/900</f>
        <v>0.22222222222222221</v>
      </c>
      <c r="F70" s="14" t="s">
        <v>40</v>
      </c>
      <c r="G70" s="108"/>
      <c r="H70" s="108">
        <f>D70*G70/900</f>
        <v>0</v>
      </c>
      <c r="J70" s="291"/>
      <c r="K70" s="291"/>
      <c r="L70" s="291"/>
      <c r="M70" s="291"/>
      <c r="N70" s="291"/>
      <c r="O70" s="291"/>
      <c r="P70" s="291"/>
      <c r="Q70" s="291"/>
    </row>
    <row r="71" spans="1:27" s="85" customFormat="1" ht="15.75" thickBot="1" x14ac:dyDescent="0.3">
      <c r="A71" s="411" t="s">
        <v>5</v>
      </c>
      <c r="B71" s="440">
        <v>1.5</v>
      </c>
      <c r="C71" s="113">
        <v>1</v>
      </c>
      <c r="D71" s="97">
        <f t="shared" si="9"/>
        <v>1.5</v>
      </c>
      <c r="E71" s="39">
        <f>D71*$C$26/1000</f>
        <v>0.15</v>
      </c>
      <c r="F71" s="412" t="s">
        <v>25</v>
      </c>
      <c r="G71" s="108"/>
      <c r="H71" s="108">
        <f>D71*G71/1000</f>
        <v>0</v>
      </c>
      <c r="J71" s="291"/>
      <c r="K71" s="291"/>
      <c r="L71" s="291"/>
      <c r="M71" s="291"/>
      <c r="N71" s="291"/>
      <c r="O71" s="291"/>
      <c r="P71" s="291"/>
      <c r="Q71" s="291"/>
    </row>
    <row r="72" spans="1:27" s="85" customFormat="1" ht="19.5" thickBot="1" x14ac:dyDescent="0.3">
      <c r="A72" s="90" t="s">
        <v>10</v>
      </c>
      <c r="B72" s="444">
        <v>16</v>
      </c>
      <c r="C72" s="113">
        <v>1.18</v>
      </c>
      <c r="D72" s="97">
        <f t="shared" si="9"/>
        <v>18.88</v>
      </c>
      <c r="E72" s="39">
        <f>D72*$C$26/1000</f>
        <v>1.8879999999999999</v>
      </c>
      <c r="F72" s="14" t="s">
        <v>25</v>
      </c>
      <c r="G72" s="108"/>
      <c r="H72" s="108">
        <f>D72*G72/1000</f>
        <v>0</v>
      </c>
      <c r="J72" s="129"/>
      <c r="K72" s="129"/>
      <c r="L72" s="129"/>
      <c r="M72" s="129"/>
      <c r="N72" s="571"/>
      <c r="O72" s="571"/>
      <c r="P72" s="572" t="s">
        <v>93</v>
      </c>
      <c r="Q72" s="573"/>
      <c r="R72" s="574">
        <f>SUM(H39,H55,Q50,Q55,Z54,H74,Q65)</f>
        <v>0</v>
      </c>
      <c r="S72" s="575"/>
      <c r="T72" s="407"/>
    </row>
    <row r="73" spans="1:27" s="85" customFormat="1" ht="18.75" x14ac:dyDescent="0.25">
      <c r="A73" s="90" t="s">
        <v>33</v>
      </c>
      <c r="B73" s="445">
        <v>15</v>
      </c>
      <c r="C73" s="92">
        <v>1</v>
      </c>
      <c r="D73" s="97">
        <f t="shared" si="9"/>
        <v>15</v>
      </c>
      <c r="E73" s="39">
        <f>D73*$C$26/520</f>
        <v>2.8846153846153846</v>
      </c>
      <c r="F73" s="14" t="s">
        <v>122</v>
      </c>
      <c r="G73" s="108"/>
      <c r="H73" s="108">
        <f>D73*G73/520</f>
        <v>0</v>
      </c>
      <c r="J73" s="129"/>
      <c r="K73" s="129"/>
      <c r="L73" s="129"/>
      <c r="M73" s="129"/>
      <c r="N73" s="291"/>
      <c r="O73" s="291"/>
      <c r="P73" s="408"/>
      <c r="Q73" s="408"/>
      <c r="R73" s="406"/>
      <c r="S73" s="406"/>
      <c r="T73" s="406"/>
    </row>
    <row r="74" spans="1:27" s="85" customFormat="1" ht="18.75" x14ac:dyDescent="0.25">
      <c r="A74" s="158"/>
      <c r="B74" s="118"/>
      <c r="C74" s="118"/>
      <c r="D74" s="118"/>
      <c r="E74" s="173"/>
      <c r="F74" s="118"/>
      <c r="G74" s="147"/>
      <c r="H74" s="47">
        <f>SUM(H63:H73)</f>
        <v>0</v>
      </c>
      <c r="J74" s="129"/>
      <c r="K74" s="129"/>
      <c r="L74" s="129"/>
      <c r="M74" s="129"/>
      <c r="N74" s="291"/>
      <c r="O74" s="291"/>
      <c r="P74" s="408"/>
      <c r="Q74" s="408"/>
      <c r="R74" s="406"/>
      <c r="S74" s="406"/>
      <c r="T74" s="406"/>
    </row>
    <row r="75" spans="1:27" s="85" customFormat="1" ht="18.75" x14ac:dyDescent="0.25">
      <c r="A75" s="38"/>
      <c r="B75" s="121"/>
      <c r="C75" s="121"/>
      <c r="D75" s="121"/>
      <c r="E75" s="36"/>
      <c r="F75" s="474"/>
      <c r="G75" s="132"/>
      <c r="H75" s="132"/>
      <c r="J75" s="129"/>
      <c r="K75" s="129"/>
      <c r="L75" s="129"/>
      <c r="M75" s="129"/>
      <c r="N75" s="429"/>
      <c r="O75" s="429"/>
      <c r="P75" s="431"/>
      <c r="Q75" s="431"/>
      <c r="R75" s="406"/>
      <c r="S75" s="406"/>
      <c r="T75" s="406"/>
    </row>
    <row r="76" spans="1:27" s="85" customFormat="1" ht="18.75" x14ac:dyDescent="0.25">
      <c r="A76" s="158"/>
      <c r="B76" s="12"/>
      <c r="C76" s="12"/>
      <c r="D76" s="12"/>
      <c r="E76" s="492"/>
      <c r="F76" s="12"/>
      <c r="H76" s="48"/>
      <c r="J76" s="129"/>
      <c r="K76" s="129"/>
      <c r="L76" s="129"/>
      <c r="M76" s="129"/>
      <c r="N76" s="291"/>
      <c r="O76" s="291"/>
      <c r="P76" s="408"/>
      <c r="Q76" s="408"/>
      <c r="R76" s="406"/>
      <c r="S76" s="406"/>
      <c r="T76" s="406"/>
    </row>
    <row r="77" spans="1:27" s="85" customFormat="1" ht="18.75" x14ac:dyDescent="0.25">
      <c r="A77" s="79"/>
      <c r="B77" s="79"/>
      <c r="C77" s="79"/>
      <c r="D77" s="79"/>
      <c r="E77" s="79"/>
      <c r="F77" s="79"/>
      <c r="G77" s="79"/>
      <c r="H77" s="46"/>
      <c r="J77" s="129"/>
      <c r="K77" s="129"/>
      <c r="L77" s="129"/>
      <c r="M77" s="129"/>
      <c r="N77" s="291"/>
      <c r="O77" s="291"/>
      <c r="P77" s="408"/>
      <c r="Q77" s="408"/>
      <c r="R77" s="406"/>
      <c r="S77" s="406"/>
      <c r="T77" s="406"/>
    </row>
    <row r="78" spans="1:27" s="85" customFormat="1" x14ac:dyDescent="0.25">
      <c r="A78" s="120"/>
      <c r="B78" s="121"/>
      <c r="C78" s="121"/>
      <c r="D78" s="121"/>
      <c r="E78" s="12"/>
      <c r="F78" s="12"/>
      <c r="G78" s="122"/>
      <c r="H78" s="48"/>
      <c r="R78" s="123"/>
      <c r="S78" s="123"/>
      <c r="T78" s="123"/>
    </row>
    <row r="79" spans="1:27" s="124" customFormat="1" ht="25.5" x14ac:dyDescent="0.25">
      <c r="A79" s="576" t="s">
        <v>24</v>
      </c>
      <c r="B79" s="576"/>
      <c r="C79" s="576"/>
      <c r="D79" s="576"/>
      <c r="E79" s="576"/>
      <c r="F79" s="576"/>
      <c r="G79" s="576"/>
      <c r="H79" s="576"/>
      <c r="I79" s="576"/>
      <c r="J79" s="576"/>
      <c r="K79" s="576"/>
      <c r="L79" s="576"/>
      <c r="M79" s="576"/>
      <c r="N79" s="576"/>
      <c r="O79" s="576"/>
      <c r="P79" s="576"/>
      <c r="Q79" s="576"/>
      <c r="R79" s="576"/>
      <c r="S79" s="576"/>
      <c r="T79" s="576"/>
      <c r="U79" s="576"/>
      <c r="V79" s="576"/>
      <c r="W79" s="576"/>
      <c r="X79" s="576"/>
      <c r="Y79" s="576"/>
      <c r="Z79" s="576"/>
      <c r="AA79" s="576"/>
    </row>
    <row r="80" spans="1:27" s="124" customFormat="1" x14ac:dyDescent="0.25">
      <c r="I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</row>
    <row r="81" spans="1:27" x14ac:dyDescent="0.25">
      <c r="A81" s="577" t="s">
        <v>59</v>
      </c>
      <c r="B81" s="577"/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7"/>
      <c r="P81" s="577"/>
      <c r="Q81" s="577"/>
      <c r="R81" s="577"/>
      <c r="S81" s="577"/>
      <c r="T81" s="577"/>
      <c r="U81" s="577"/>
      <c r="V81" s="577"/>
      <c r="W81" s="577"/>
      <c r="X81" s="577"/>
      <c r="Y81" s="577"/>
      <c r="Z81" s="577"/>
      <c r="AA81" s="577"/>
    </row>
    <row r="82" spans="1:27" s="85" customFormat="1" ht="15.75" thickBot="1" x14ac:dyDescent="0.3">
      <c r="A82" s="571"/>
      <c r="B82" s="571"/>
      <c r="C82" s="571"/>
      <c r="D82" s="571"/>
      <c r="E82" s="571"/>
      <c r="F82" s="571"/>
      <c r="G82" s="571"/>
      <c r="H82" s="571"/>
    </row>
    <row r="83" spans="1:27" s="85" customFormat="1" ht="15.75" thickBot="1" x14ac:dyDescent="0.3">
      <c r="A83" s="566" t="s">
        <v>210</v>
      </c>
      <c r="B83" s="567"/>
      <c r="C83" s="567"/>
      <c r="D83" s="567"/>
      <c r="E83" s="567"/>
      <c r="F83" s="567"/>
      <c r="G83" s="567"/>
      <c r="H83" s="568"/>
    </row>
    <row r="84" spans="1:27" s="85" customFormat="1" ht="25.5" x14ac:dyDescent="0.25">
      <c r="A84" s="101" t="s">
        <v>13</v>
      </c>
      <c r="B84" s="102" t="s">
        <v>17</v>
      </c>
      <c r="C84" s="103" t="s">
        <v>107</v>
      </c>
      <c r="D84" s="103" t="s">
        <v>108</v>
      </c>
      <c r="E84" s="569" t="s">
        <v>15</v>
      </c>
      <c r="F84" s="570"/>
      <c r="G84" s="101" t="s">
        <v>0</v>
      </c>
      <c r="H84" s="101" t="s">
        <v>1</v>
      </c>
    </row>
    <row r="85" spans="1:27" s="85" customFormat="1" x14ac:dyDescent="0.25">
      <c r="A85" s="104" t="s">
        <v>27</v>
      </c>
      <c r="B85" s="96">
        <v>40</v>
      </c>
      <c r="C85" s="113">
        <v>1.55</v>
      </c>
      <c r="D85" s="113">
        <f>B85*C85</f>
        <v>62</v>
      </c>
      <c r="E85" s="4">
        <f>D85*$C$26/1000</f>
        <v>6.2</v>
      </c>
      <c r="F85" s="57" t="s">
        <v>16</v>
      </c>
      <c r="G85" s="108"/>
      <c r="H85" s="17">
        <f>D85*G85/1000</f>
        <v>0</v>
      </c>
    </row>
    <row r="86" spans="1:27" s="85" customFormat="1" x14ac:dyDescent="0.25">
      <c r="A86" s="104" t="s">
        <v>18</v>
      </c>
      <c r="B86" s="96">
        <v>10</v>
      </c>
      <c r="C86" s="113">
        <v>1</v>
      </c>
      <c r="D86" s="113">
        <f t="shared" ref="D86:D87" si="10">B86*C86</f>
        <v>10</v>
      </c>
      <c r="E86" s="4">
        <f>D86*$C$26/400</f>
        <v>2.5</v>
      </c>
      <c r="F86" s="57" t="s">
        <v>38</v>
      </c>
      <c r="G86" s="108"/>
      <c r="H86" s="17">
        <f>D86*G86/400</f>
        <v>0</v>
      </c>
    </row>
    <row r="87" spans="1:27" s="85" customFormat="1" x14ac:dyDescent="0.25">
      <c r="A87" s="104" t="s">
        <v>19</v>
      </c>
      <c r="B87" s="96">
        <v>10</v>
      </c>
      <c r="C87" s="113">
        <v>1</v>
      </c>
      <c r="D87" s="113">
        <f t="shared" si="10"/>
        <v>10</v>
      </c>
      <c r="E87" s="4">
        <f>D87*$C$26/1000</f>
        <v>1</v>
      </c>
      <c r="F87" s="57" t="s">
        <v>16</v>
      </c>
      <c r="G87" s="108"/>
      <c r="H87" s="17">
        <f t="shared" ref="H87" si="11">D87*G87/1000</f>
        <v>0</v>
      </c>
      <c r="J87" s="100"/>
      <c r="K87" s="100"/>
      <c r="L87" s="100"/>
      <c r="M87" s="100"/>
      <c r="N87" s="117"/>
      <c r="O87" s="118"/>
      <c r="P87" s="119"/>
      <c r="Q87" s="43"/>
    </row>
    <row r="88" spans="1:27" s="85" customFormat="1" x14ac:dyDescent="0.25">
      <c r="A88" s="38"/>
      <c r="B88" s="12"/>
      <c r="C88" s="12"/>
      <c r="D88" s="12"/>
      <c r="E88" s="12"/>
      <c r="F88" s="12"/>
      <c r="G88" s="79"/>
      <c r="H88" s="125">
        <f>SUM(H85:H87)</f>
        <v>0</v>
      </c>
      <c r="J88" s="100"/>
      <c r="K88" s="100"/>
      <c r="L88" s="100"/>
      <c r="M88" s="100"/>
      <c r="N88" s="117"/>
      <c r="O88" s="118"/>
      <c r="P88" s="119"/>
      <c r="Q88" s="43"/>
    </row>
    <row r="89" spans="1:27" s="85" customFormat="1" x14ac:dyDescent="0.25">
      <c r="A89" s="126"/>
      <c r="B89" s="115"/>
      <c r="C89" s="115"/>
      <c r="D89" s="115"/>
      <c r="E89" s="127"/>
      <c r="F89" s="115"/>
      <c r="G89" s="128"/>
      <c r="H89" s="42"/>
      <c r="J89" s="100"/>
      <c r="K89" s="100"/>
      <c r="L89" s="100"/>
      <c r="M89" s="100"/>
      <c r="N89" s="117"/>
      <c r="O89" s="118"/>
      <c r="P89" s="119"/>
      <c r="Q89" s="43"/>
    </row>
    <row r="90" spans="1:27" s="124" customFormat="1" x14ac:dyDescent="0.25">
      <c r="A90" s="577" t="s">
        <v>60</v>
      </c>
      <c r="B90" s="577"/>
      <c r="C90" s="577"/>
      <c r="D90" s="577"/>
      <c r="E90" s="577"/>
      <c r="F90" s="577"/>
      <c r="G90" s="577"/>
      <c r="H90" s="577"/>
      <c r="I90" s="577"/>
      <c r="J90" s="577"/>
      <c r="K90" s="577"/>
      <c r="L90" s="577"/>
      <c r="M90" s="577"/>
      <c r="N90" s="577"/>
      <c r="O90" s="577"/>
      <c r="P90" s="577"/>
      <c r="Q90" s="577"/>
      <c r="R90" s="577"/>
      <c r="S90" s="577"/>
      <c r="T90" s="577"/>
      <c r="U90" s="577"/>
      <c r="V90" s="577"/>
      <c r="W90" s="577"/>
      <c r="X90" s="577"/>
      <c r="Y90" s="577"/>
      <c r="Z90" s="577"/>
      <c r="AA90" s="577"/>
    </row>
    <row r="91" spans="1:27" ht="15.75" thickBot="1" x14ac:dyDescent="0.3">
      <c r="A91" s="124"/>
      <c r="B91" s="124"/>
      <c r="C91" s="124"/>
      <c r="D91" s="124"/>
      <c r="E91" s="124"/>
      <c r="F91" s="124"/>
      <c r="G91" s="124"/>
      <c r="H91" s="124"/>
      <c r="I91" s="124"/>
      <c r="N91" s="346"/>
      <c r="O91" s="346"/>
      <c r="P91" s="346"/>
      <c r="Q91" s="346"/>
      <c r="R91" s="291"/>
      <c r="S91" s="124"/>
      <c r="T91" s="571"/>
      <c r="U91" s="571"/>
      <c r="V91" s="571"/>
      <c r="W91" s="571"/>
      <c r="X91" s="571"/>
      <c r="Y91" s="571"/>
      <c r="Z91" s="571"/>
      <c r="AA91" s="571"/>
    </row>
    <row r="92" spans="1:27" ht="15.75" thickBot="1" x14ac:dyDescent="0.3">
      <c r="A92" s="566" t="s">
        <v>112</v>
      </c>
      <c r="B92" s="567"/>
      <c r="C92" s="567"/>
      <c r="D92" s="567"/>
      <c r="E92" s="567"/>
      <c r="F92" s="567"/>
      <c r="G92" s="567"/>
      <c r="H92" s="568"/>
      <c r="I92" s="85"/>
      <c r="J92" s="566" t="s">
        <v>61</v>
      </c>
      <c r="K92" s="567"/>
      <c r="L92" s="567"/>
      <c r="M92" s="567"/>
      <c r="N92" s="567"/>
      <c r="O92" s="567"/>
      <c r="P92" s="567"/>
      <c r="Q92" s="568"/>
      <c r="U92" s="129"/>
      <c r="V92" s="129"/>
      <c r="W92" s="130"/>
      <c r="X92" s="571"/>
      <c r="Y92" s="571"/>
      <c r="Z92" s="129"/>
      <c r="AA92" s="129"/>
    </row>
    <row r="93" spans="1:27" ht="33" customHeight="1" x14ac:dyDescent="0.25">
      <c r="A93" s="101" t="s">
        <v>13</v>
      </c>
      <c r="B93" s="102" t="s">
        <v>45</v>
      </c>
      <c r="C93" s="102" t="s">
        <v>107</v>
      </c>
      <c r="D93" s="102" t="s">
        <v>108</v>
      </c>
      <c r="E93" s="578" t="s">
        <v>15</v>
      </c>
      <c r="F93" s="578"/>
      <c r="G93" s="101" t="s">
        <v>0</v>
      </c>
      <c r="H93" s="101" t="s">
        <v>1</v>
      </c>
      <c r="I93" s="85"/>
      <c r="J93" s="101" t="s">
        <v>13</v>
      </c>
      <c r="K93" s="102" t="s">
        <v>45</v>
      </c>
      <c r="L93" s="102" t="s">
        <v>107</v>
      </c>
      <c r="M93" s="102" t="s">
        <v>108</v>
      </c>
      <c r="N93" s="579" t="s">
        <v>15</v>
      </c>
      <c r="O93" s="580"/>
      <c r="P93" s="101" t="s">
        <v>0</v>
      </c>
      <c r="Q93" s="101" t="s">
        <v>1</v>
      </c>
      <c r="U93" s="120"/>
      <c r="V93" s="120"/>
      <c r="W93" s="121"/>
      <c r="X93" s="131"/>
      <c r="Y93" s="12"/>
      <c r="Z93" s="132"/>
      <c r="AA93" s="41"/>
    </row>
    <row r="94" spans="1:27" x14ac:dyDescent="0.25">
      <c r="A94" s="90" t="s">
        <v>113</v>
      </c>
      <c r="B94" s="91">
        <v>25</v>
      </c>
      <c r="C94" s="92">
        <v>1.21</v>
      </c>
      <c r="D94" s="97">
        <f>B94*C94</f>
        <v>30.25</v>
      </c>
      <c r="E94" s="39">
        <f>D94*$C$26/1000</f>
        <v>3.0249999999999999</v>
      </c>
      <c r="F94" s="14" t="s">
        <v>25</v>
      </c>
      <c r="G94" s="108"/>
      <c r="H94" s="108">
        <f>D94*G94/1000</f>
        <v>0</v>
      </c>
      <c r="I94" s="85"/>
      <c r="J94" s="90" t="s">
        <v>49</v>
      </c>
      <c r="K94" s="91">
        <v>20</v>
      </c>
      <c r="L94" s="92">
        <v>1</v>
      </c>
      <c r="M94" s="111">
        <f>K94*L94</f>
        <v>20</v>
      </c>
      <c r="N94" s="39">
        <f>M94*$C$26/1000</f>
        <v>2</v>
      </c>
      <c r="O94" s="14" t="s">
        <v>25</v>
      </c>
      <c r="P94" s="106"/>
      <c r="Q94" s="108">
        <f>M94*P94/1000</f>
        <v>0</v>
      </c>
      <c r="U94" s="120"/>
      <c r="V94" s="120"/>
      <c r="W94" s="121"/>
      <c r="X94" s="131"/>
      <c r="Y94" s="12"/>
      <c r="Z94" s="132"/>
      <c r="AA94" s="41"/>
    </row>
    <row r="95" spans="1:27" x14ac:dyDescent="0.25">
      <c r="A95" s="104" t="s">
        <v>53</v>
      </c>
      <c r="B95" s="91">
        <v>0.5</v>
      </c>
      <c r="C95" s="92">
        <v>1.18</v>
      </c>
      <c r="D95" s="111">
        <f t="shared" ref="D95:D99" si="12">B95*C95</f>
        <v>0.59</v>
      </c>
      <c r="E95" s="93">
        <f>D95*$C$26/1000</f>
        <v>5.8999999999999997E-2</v>
      </c>
      <c r="F95" s="14" t="s">
        <v>25</v>
      </c>
      <c r="G95" s="108"/>
      <c r="H95" s="108">
        <f t="shared" ref="H95:H99" si="13">D95*G95/1000</f>
        <v>0</v>
      </c>
      <c r="I95" s="85"/>
      <c r="J95" s="90" t="s">
        <v>3</v>
      </c>
      <c r="K95" s="96">
        <v>0.5</v>
      </c>
      <c r="L95" s="92">
        <v>1.18</v>
      </c>
      <c r="M95" s="111">
        <f>K95*L95</f>
        <v>0.59</v>
      </c>
      <c r="N95" s="39">
        <f>M95*$C$26/1000</f>
        <v>5.8999999999999997E-2</v>
      </c>
      <c r="O95" s="14" t="s">
        <v>25</v>
      </c>
      <c r="P95" s="106"/>
      <c r="Q95" s="108">
        <f t="shared" ref="Q95:Q96" si="14">M95*P95/1000</f>
        <v>0</v>
      </c>
      <c r="U95" s="120"/>
      <c r="V95" s="120"/>
      <c r="W95" s="121"/>
      <c r="X95" s="131"/>
      <c r="Y95" s="12"/>
      <c r="Z95" s="132"/>
      <c r="AA95" s="41"/>
    </row>
    <row r="96" spans="1:27" x14ac:dyDescent="0.25">
      <c r="A96" s="104" t="s">
        <v>2</v>
      </c>
      <c r="B96" s="444">
        <v>4</v>
      </c>
      <c r="C96" s="113">
        <v>1.08</v>
      </c>
      <c r="D96" s="111">
        <f t="shared" si="12"/>
        <v>4.32</v>
      </c>
      <c r="E96" s="39">
        <f>D96*$C$26/1000</f>
        <v>0.432</v>
      </c>
      <c r="F96" s="14" t="s">
        <v>25</v>
      </c>
      <c r="G96" s="108"/>
      <c r="H96" s="108">
        <f t="shared" si="13"/>
        <v>0</v>
      </c>
      <c r="I96" s="85"/>
      <c r="J96" s="90" t="s">
        <v>2</v>
      </c>
      <c r="K96" s="444">
        <v>4</v>
      </c>
      <c r="L96" s="92">
        <v>1.08</v>
      </c>
      <c r="M96" s="111">
        <f>K96*L96</f>
        <v>4.32</v>
      </c>
      <c r="N96" s="39">
        <f>M96*$C$26/1000</f>
        <v>0.432</v>
      </c>
      <c r="O96" s="14" t="s">
        <v>25</v>
      </c>
      <c r="P96" s="106"/>
      <c r="Q96" s="108">
        <f t="shared" si="14"/>
        <v>0</v>
      </c>
      <c r="U96" s="120"/>
      <c r="V96" s="120"/>
      <c r="W96" s="121"/>
      <c r="X96" s="131"/>
      <c r="Y96" s="12"/>
      <c r="Z96" s="132"/>
      <c r="AA96" s="41"/>
    </row>
    <row r="97" spans="1:27" x14ac:dyDescent="0.25">
      <c r="A97" s="104" t="s">
        <v>10</v>
      </c>
      <c r="B97" s="443">
        <v>8</v>
      </c>
      <c r="C97" s="113">
        <v>1.18</v>
      </c>
      <c r="D97" s="111">
        <f t="shared" si="12"/>
        <v>9.44</v>
      </c>
      <c r="E97" s="39">
        <f>D97*$C$26/1000</f>
        <v>0.94399999999999995</v>
      </c>
      <c r="F97" s="14" t="s">
        <v>25</v>
      </c>
      <c r="G97" s="108"/>
      <c r="H97" s="108">
        <f t="shared" si="13"/>
        <v>0</v>
      </c>
      <c r="I97" s="85"/>
      <c r="J97" s="90" t="s">
        <v>127</v>
      </c>
      <c r="K97" s="91">
        <v>2</v>
      </c>
      <c r="L97" s="92">
        <v>1</v>
      </c>
      <c r="M97" s="92">
        <f>K97*L97</f>
        <v>2</v>
      </c>
      <c r="N97" s="39">
        <f>M97*$C$26/900</f>
        <v>0.22222222222222221</v>
      </c>
      <c r="O97" s="14" t="s">
        <v>40</v>
      </c>
      <c r="P97" s="106"/>
      <c r="Q97" s="108">
        <f>M97*P97/900</f>
        <v>0</v>
      </c>
      <c r="U97" s="120"/>
      <c r="V97" s="120"/>
      <c r="W97" s="121"/>
      <c r="X97" s="131"/>
      <c r="Y97" s="12"/>
      <c r="Z97" s="132"/>
      <c r="AA97" s="41"/>
    </row>
    <row r="98" spans="1:27" x14ac:dyDescent="0.25">
      <c r="A98" s="104" t="s">
        <v>129</v>
      </c>
      <c r="B98" s="96">
        <v>2</v>
      </c>
      <c r="C98" s="113">
        <v>1</v>
      </c>
      <c r="D98" s="92">
        <f t="shared" si="12"/>
        <v>2</v>
      </c>
      <c r="E98" s="39">
        <f>D98*$C$26/900</f>
        <v>0.22222222222222221</v>
      </c>
      <c r="F98" s="14" t="s">
        <v>40</v>
      </c>
      <c r="G98" s="108"/>
      <c r="H98" s="108">
        <f>D98*G98/900</f>
        <v>0</v>
      </c>
      <c r="I98" s="85"/>
      <c r="J98" s="90" t="s">
        <v>5</v>
      </c>
      <c r="K98" s="96">
        <v>0.5</v>
      </c>
      <c r="L98" s="92">
        <v>1</v>
      </c>
      <c r="M98" s="92">
        <f>K98*L98</f>
        <v>0.5</v>
      </c>
      <c r="N98" s="39">
        <f>M98*$C$26/1000</f>
        <v>0.05</v>
      </c>
      <c r="O98" s="14" t="s">
        <v>25</v>
      </c>
      <c r="P98" s="106"/>
      <c r="Q98" s="108">
        <f>M98*P98/1000</f>
        <v>0</v>
      </c>
      <c r="U98" s="120"/>
      <c r="V98" s="120"/>
      <c r="W98" s="121"/>
      <c r="X98" s="133"/>
      <c r="Y98" s="12"/>
      <c r="Z98" s="132"/>
      <c r="AA98" s="41"/>
    </row>
    <row r="99" spans="1:27" x14ac:dyDescent="0.25">
      <c r="A99" s="104" t="s">
        <v>5</v>
      </c>
      <c r="B99" s="96">
        <v>0.5</v>
      </c>
      <c r="C99" s="113">
        <v>1</v>
      </c>
      <c r="D99" s="92">
        <f t="shared" si="12"/>
        <v>0.5</v>
      </c>
      <c r="E99" s="39">
        <f>D99*$C$26/1000</f>
        <v>0.05</v>
      </c>
      <c r="F99" s="14" t="s">
        <v>25</v>
      </c>
      <c r="G99" s="108"/>
      <c r="H99" s="108">
        <f t="shared" si="13"/>
        <v>0</v>
      </c>
      <c r="I99" s="85"/>
      <c r="Q99" s="47">
        <f>SUM(Q94:Q98)</f>
        <v>0</v>
      </c>
      <c r="U99" s="120"/>
      <c r="V99" s="120"/>
      <c r="W99" s="121"/>
      <c r="X99" s="131"/>
      <c r="Y99" s="12"/>
      <c r="Z99" s="132"/>
      <c r="AA99" s="41"/>
    </row>
    <row r="100" spans="1:27" x14ac:dyDescent="0.25">
      <c r="H100" s="134">
        <f>SUM(H94:H99)</f>
        <v>0</v>
      </c>
      <c r="I100" s="85"/>
      <c r="U100" s="120"/>
      <c r="V100" s="120"/>
      <c r="W100" s="121"/>
      <c r="X100" s="131"/>
      <c r="Y100" s="12"/>
      <c r="Z100" s="132"/>
      <c r="AA100" s="41"/>
    </row>
    <row r="101" spans="1:27" ht="15.75" customHeight="1" thickBot="1" x14ac:dyDescent="0.3">
      <c r="I101" s="85"/>
      <c r="U101" s="120"/>
      <c r="V101" s="120"/>
      <c r="W101" s="121"/>
      <c r="X101" s="36"/>
      <c r="Y101" s="12"/>
      <c r="Z101" s="132"/>
      <c r="AA101" s="41"/>
    </row>
    <row r="102" spans="1:27" ht="15.75" thickBot="1" x14ac:dyDescent="0.3">
      <c r="A102" s="566" t="s">
        <v>130</v>
      </c>
      <c r="B102" s="567"/>
      <c r="C102" s="567"/>
      <c r="D102" s="567"/>
      <c r="E102" s="567"/>
      <c r="F102" s="567"/>
      <c r="G102" s="567"/>
      <c r="H102" s="568"/>
      <c r="I102" s="85"/>
      <c r="J102" s="592" t="s">
        <v>100</v>
      </c>
      <c r="K102" s="593"/>
      <c r="L102" s="593"/>
      <c r="M102" s="593"/>
      <c r="N102" s="593"/>
      <c r="O102" s="593"/>
      <c r="P102" s="593"/>
      <c r="Q102" s="594"/>
      <c r="U102" s="120"/>
      <c r="V102" s="120"/>
      <c r="W102" s="121"/>
      <c r="X102" s="131"/>
      <c r="Y102" s="12"/>
      <c r="Z102" s="132"/>
      <c r="AA102" s="41"/>
    </row>
    <row r="103" spans="1:27" ht="25.5" x14ac:dyDescent="0.25">
      <c r="A103" s="101" t="s">
        <v>13</v>
      </c>
      <c r="B103" s="102" t="s">
        <v>45</v>
      </c>
      <c r="C103" s="102" t="s">
        <v>107</v>
      </c>
      <c r="D103" s="102" t="s">
        <v>108</v>
      </c>
      <c r="E103" s="569" t="s">
        <v>15</v>
      </c>
      <c r="F103" s="570"/>
      <c r="G103" s="101" t="s">
        <v>0</v>
      </c>
      <c r="H103" s="101" t="s">
        <v>1</v>
      </c>
      <c r="I103" s="85"/>
      <c r="J103" s="101" t="s">
        <v>13</v>
      </c>
      <c r="K103" s="102" t="s">
        <v>45</v>
      </c>
      <c r="L103" s="103" t="s">
        <v>107</v>
      </c>
      <c r="M103" s="103" t="s">
        <v>108</v>
      </c>
      <c r="N103" s="569" t="s">
        <v>15</v>
      </c>
      <c r="O103" s="570"/>
      <c r="P103" s="101" t="s">
        <v>0</v>
      </c>
      <c r="Q103" s="101" t="s">
        <v>1</v>
      </c>
      <c r="S103" s="395"/>
      <c r="U103" s="85"/>
      <c r="V103" s="85"/>
      <c r="W103" s="85"/>
      <c r="X103" s="85"/>
      <c r="Y103" s="85"/>
      <c r="Z103" s="85"/>
      <c r="AA103" s="48"/>
    </row>
    <row r="104" spans="1:27" x14ac:dyDescent="0.25">
      <c r="A104" s="104" t="s">
        <v>65</v>
      </c>
      <c r="B104" s="96">
        <v>25</v>
      </c>
      <c r="C104" s="113">
        <v>1.1599999999999999</v>
      </c>
      <c r="D104" s="105">
        <f>B104*C104</f>
        <v>28.999999999999996</v>
      </c>
      <c r="E104" s="39">
        <f>D104*$C$26/1000</f>
        <v>2.8999999999999995</v>
      </c>
      <c r="F104" s="91" t="s">
        <v>25</v>
      </c>
      <c r="G104" s="106"/>
      <c r="H104" s="15">
        <f>D104*G104/1000</f>
        <v>0</v>
      </c>
      <c r="I104" s="85"/>
      <c r="J104" s="8" t="s">
        <v>100</v>
      </c>
      <c r="K104" s="96">
        <v>50</v>
      </c>
      <c r="L104" s="113">
        <v>1.36</v>
      </c>
      <c r="M104" s="113">
        <f>K104*L104</f>
        <v>68</v>
      </c>
      <c r="N104" s="149">
        <f>M104*$C$26/1000</f>
        <v>6.8</v>
      </c>
      <c r="O104" s="91" t="s">
        <v>25</v>
      </c>
      <c r="P104" s="15"/>
      <c r="Q104" s="150">
        <f>M104*P104/1000</f>
        <v>0</v>
      </c>
    </row>
    <row r="105" spans="1:27" x14ac:dyDescent="0.25">
      <c r="A105" s="104" t="s">
        <v>5</v>
      </c>
      <c r="B105" s="96">
        <v>0.5</v>
      </c>
      <c r="C105" s="113">
        <v>1</v>
      </c>
      <c r="D105" s="113">
        <f t="shared" ref="D105:D106" si="15">B105*C105</f>
        <v>0.5</v>
      </c>
      <c r="E105" s="39">
        <f>D105*$C$26/1000</f>
        <v>0.05</v>
      </c>
      <c r="F105" s="91" t="s">
        <v>25</v>
      </c>
      <c r="G105" s="108"/>
      <c r="H105" s="15">
        <f t="shared" ref="H105" si="16">D105*G105/1000</f>
        <v>0</v>
      </c>
      <c r="I105" s="85"/>
    </row>
    <row r="106" spans="1:27" s="124" customFormat="1" x14ac:dyDescent="0.25">
      <c r="A106" s="90" t="s">
        <v>54</v>
      </c>
      <c r="B106" s="91">
        <v>4</v>
      </c>
      <c r="C106" s="92">
        <v>1</v>
      </c>
      <c r="D106" s="113">
        <f t="shared" si="15"/>
        <v>4</v>
      </c>
      <c r="E106" s="39">
        <f>D106*$C$26/500</f>
        <v>0.8</v>
      </c>
      <c r="F106" s="14" t="s">
        <v>56</v>
      </c>
      <c r="G106" s="460"/>
      <c r="H106" s="15">
        <f>D106*G106/500</f>
        <v>0</v>
      </c>
      <c r="I106" s="85"/>
      <c r="J106" s="120"/>
      <c r="K106" s="120"/>
      <c r="L106" s="120"/>
      <c r="M106" s="79"/>
      <c r="N106" s="79"/>
      <c r="O106" s="79"/>
      <c r="P106" s="79"/>
      <c r="Q106" s="79"/>
      <c r="R106" s="12"/>
      <c r="S106" s="132"/>
      <c r="T106" s="79"/>
      <c r="U106" s="79"/>
      <c r="V106" s="79"/>
      <c r="W106" s="79"/>
      <c r="X106" s="79"/>
      <c r="Y106" s="79"/>
      <c r="Z106" s="79"/>
      <c r="AA106" s="79"/>
    </row>
    <row r="107" spans="1:27" s="124" customFormat="1" x14ac:dyDescent="0.25">
      <c r="A107" s="79"/>
      <c r="B107" s="79"/>
      <c r="C107" s="79"/>
      <c r="D107" s="79"/>
      <c r="E107" s="79"/>
      <c r="F107" s="79"/>
      <c r="G107" s="79"/>
      <c r="H107" s="47">
        <f>SUM(H104:H106)</f>
        <v>0</v>
      </c>
      <c r="I107" s="85"/>
      <c r="J107" s="79"/>
      <c r="K107" s="79"/>
      <c r="L107" s="79"/>
      <c r="M107" s="120"/>
      <c r="N107" s="12"/>
      <c r="O107" s="12"/>
      <c r="P107" s="132"/>
      <c r="Q107" s="48"/>
      <c r="R107" s="12"/>
      <c r="S107" s="132"/>
      <c r="T107" s="79"/>
      <c r="U107" s="79"/>
      <c r="V107" s="79"/>
      <c r="W107" s="79"/>
      <c r="X107" s="79"/>
      <c r="Y107" s="79"/>
      <c r="Z107" s="79"/>
      <c r="AA107" s="79"/>
    </row>
    <row r="108" spans="1:27" s="124" customFormat="1" x14ac:dyDescent="0.25">
      <c r="R108" s="12"/>
      <c r="S108" s="132"/>
      <c r="T108" s="79"/>
      <c r="U108" s="79"/>
      <c r="V108" s="79"/>
      <c r="W108" s="79"/>
      <c r="X108" s="79"/>
      <c r="Y108" s="79"/>
      <c r="Z108" s="79"/>
      <c r="AA108" s="79"/>
    </row>
    <row r="109" spans="1:27" s="85" customFormat="1" x14ac:dyDescent="0.25">
      <c r="H109" s="40"/>
      <c r="I109" s="100"/>
      <c r="M109" s="79"/>
      <c r="N109" s="79"/>
      <c r="O109" s="79"/>
      <c r="P109" s="79"/>
      <c r="Q109" s="79"/>
      <c r="R109" s="79"/>
      <c r="S109" s="79"/>
      <c r="T109" s="100"/>
      <c r="U109" s="100"/>
      <c r="V109" s="100"/>
      <c r="W109" s="100"/>
      <c r="X109" s="100"/>
      <c r="Y109" s="100"/>
      <c r="Z109" s="100"/>
      <c r="AA109" s="100"/>
    </row>
    <row r="110" spans="1:27" s="85" customFormat="1" x14ac:dyDescent="0.25">
      <c r="A110" s="577" t="s">
        <v>62</v>
      </c>
      <c r="B110" s="577"/>
      <c r="C110" s="577"/>
      <c r="D110" s="577"/>
      <c r="E110" s="577"/>
      <c r="F110" s="577"/>
      <c r="G110" s="577"/>
      <c r="H110" s="577"/>
      <c r="I110" s="577"/>
      <c r="J110" s="577"/>
      <c r="K110" s="577"/>
      <c r="L110" s="577"/>
      <c r="M110" s="577"/>
      <c r="N110" s="577"/>
      <c r="O110" s="577"/>
      <c r="P110" s="577"/>
      <c r="Q110" s="577"/>
      <c r="R110" s="577"/>
      <c r="S110" s="577"/>
      <c r="T110" s="577"/>
      <c r="U110" s="577"/>
      <c r="V110" s="577"/>
      <c r="W110" s="577"/>
      <c r="X110" s="577"/>
      <c r="Y110" s="577"/>
      <c r="Z110" s="577"/>
      <c r="AA110" s="577"/>
    </row>
    <row r="111" spans="1:27" s="85" customFormat="1" ht="15.75" thickBot="1" x14ac:dyDescent="0.3">
      <c r="A111" s="124"/>
      <c r="B111" s="124"/>
      <c r="C111" s="124"/>
      <c r="D111" s="124"/>
      <c r="E111" s="124"/>
      <c r="F111" s="124"/>
      <c r="G111" s="124"/>
      <c r="H111" s="124"/>
      <c r="I111" s="291"/>
      <c r="J111" s="49"/>
      <c r="K111" s="49"/>
      <c r="L111" s="49"/>
      <c r="M111" s="100"/>
      <c r="N111" s="100"/>
      <c r="O111" s="100"/>
      <c r="P111" s="100"/>
      <c r="Q111" s="100"/>
      <c r="T111" s="49"/>
      <c r="U111" s="49"/>
      <c r="V111" s="49"/>
      <c r="W111" s="49"/>
      <c r="X111" s="49"/>
      <c r="Y111" s="49"/>
      <c r="Z111" s="49"/>
    </row>
    <row r="112" spans="1:27" s="85" customFormat="1" ht="16.5" customHeight="1" thickBot="1" x14ac:dyDescent="0.3">
      <c r="A112" s="566" t="s">
        <v>224</v>
      </c>
      <c r="B112" s="567"/>
      <c r="C112" s="567"/>
      <c r="D112" s="567"/>
      <c r="E112" s="567"/>
      <c r="F112" s="567"/>
      <c r="G112" s="567"/>
      <c r="H112" s="568"/>
      <c r="I112" s="291"/>
      <c r="R112" s="49"/>
      <c r="S112" s="49"/>
      <c r="T112" s="287"/>
      <c r="U112" s="287"/>
    </row>
    <row r="113" spans="1:21" s="85" customFormat="1" ht="25.5" x14ac:dyDescent="0.25">
      <c r="A113" s="101" t="s">
        <v>13</v>
      </c>
      <c r="B113" s="102" t="s">
        <v>45</v>
      </c>
      <c r="C113" s="103" t="s">
        <v>107</v>
      </c>
      <c r="D113" s="103" t="s">
        <v>108</v>
      </c>
      <c r="E113" s="569" t="s">
        <v>15</v>
      </c>
      <c r="F113" s="570"/>
      <c r="G113" s="101" t="s">
        <v>0</v>
      </c>
      <c r="H113" s="101" t="s">
        <v>1</v>
      </c>
      <c r="I113" s="291"/>
      <c r="R113" s="287"/>
      <c r="S113" s="287"/>
      <c r="T113" s="287"/>
      <c r="U113" s="287"/>
    </row>
    <row r="114" spans="1:21" s="85" customFormat="1" x14ac:dyDescent="0.25">
      <c r="A114" s="8" t="s">
        <v>113</v>
      </c>
      <c r="B114" s="440">
        <v>25</v>
      </c>
      <c r="C114" s="113">
        <v>1.21</v>
      </c>
      <c r="D114" s="105">
        <f t="shared" ref="D114:D126" si="17">B114*C114</f>
        <v>30.25</v>
      </c>
      <c r="E114" s="39">
        <f t="shared" ref="E114:E120" si="18">D114*$C$26/1000</f>
        <v>3.0249999999999999</v>
      </c>
      <c r="F114" s="57" t="s">
        <v>16</v>
      </c>
      <c r="G114" s="108"/>
      <c r="H114" s="108">
        <f t="shared" ref="H114:H120" si="19">D114*G114/1000</f>
        <v>0</v>
      </c>
      <c r="I114" s="291"/>
      <c r="R114" s="587"/>
      <c r="S114" s="287"/>
      <c r="T114" s="287"/>
      <c r="U114" s="287"/>
    </row>
    <row r="115" spans="1:21" s="85" customFormat="1" x14ac:dyDescent="0.25">
      <c r="A115" s="8" t="s">
        <v>68</v>
      </c>
      <c r="B115" s="440">
        <v>25</v>
      </c>
      <c r="C115" s="113">
        <v>1</v>
      </c>
      <c r="D115" s="113">
        <f t="shared" si="17"/>
        <v>25</v>
      </c>
      <c r="E115" s="39">
        <f t="shared" si="18"/>
        <v>2.5</v>
      </c>
      <c r="F115" s="57" t="s">
        <v>16</v>
      </c>
      <c r="G115" s="108"/>
      <c r="H115" s="108">
        <f t="shared" si="19"/>
        <v>0</v>
      </c>
      <c r="R115" s="587"/>
      <c r="S115" s="287"/>
      <c r="T115" s="131"/>
      <c r="U115" s="131"/>
    </row>
    <row r="116" spans="1:21" s="85" customFormat="1" x14ac:dyDescent="0.25">
      <c r="A116" s="104" t="s">
        <v>52</v>
      </c>
      <c r="B116" s="440">
        <v>10</v>
      </c>
      <c r="C116" s="113">
        <v>1.1599999999999999</v>
      </c>
      <c r="D116" s="105">
        <f t="shared" si="17"/>
        <v>11.6</v>
      </c>
      <c r="E116" s="39">
        <f t="shared" si="18"/>
        <v>1.1599999999999999</v>
      </c>
      <c r="F116" s="91" t="s">
        <v>25</v>
      </c>
      <c r="G116" s="106"/>
      <c r="H116" s="108">
        <f t="shared" si="19"/>
        <v>0</v>
      </c>
      <c r="R116" s="131"/>
      <c r="S116" s="131"/>
      <c r="T116" s="131"/>
      <c r="U116" s="131"/>
    </row>
    <row r="117" spans="1:21" s="85" customFormat="1" x14ac:dyDescent="0.25">
      <c r="A117" s="8" t="s">
        <v>7</v>
      </c>
      <c r="B117" s="440">
        <v>15</v>
      </c>
      <c r="C117" s="113">
        <v>1.18</v>
      </c>
      <c r="D117" s="105">
        <f t="shared" si="17"/>
        <v>17.7</v>
      </c>
      <c r="E117" s="39">
        <f t="shared" si="18"/>
        <v>1.77</v>
      </c>
      <c r="F117" s="57" t="s">
        <v>16</v>
      </c>
      <c r="G117" s="108"/>
      <c r="H117" s="108">
        <f t="shared" si="19"/>
        <v>0</v>
      </c>
      <c r="J117" s="588"/>
      <c r="K117" s="588"/>
      <c r="L117" s="588"/>
      <c r="M117" s="287"/>
      <c r="N117" s="131"/>
      <c r="O117" s="131"/>
      <c r="P117" s="131"/>
      <c r="Q117" s="131"/>
      <c r="R117" s="131"/>
      <c r="S117" s="131"/>
      <c r="T117" s="288"/>
      <c r="U117" s="288"/>
    </row>
    <row r="118" spans="1:21" s="85" customFormat="1" x14ac:dyDescent="0.25">
      <c r="A118" s="8" t="s">
        <v>8</v>
      </c>
      <c r="B118" s="440">
        <v>15</v>
      </c>
      <c r="C118" s="113">
        <v>1.46</v>
      </c>
      <c r="D118" s="105">
        <f t="shared" si="17"/>
        <v>21.9</v>
      </c>
      <c r="E118" s="39">
        <f t="shared" si="18"/>
        <v>2.19</v>
      </c>
      <c r="F118" s="57" t="s">
        <v>16</v>
      </c>
      <c r="G118" s="108"/>
      <c r="H118" s="108">
        <f t="shared" si="19"/>
        <v>0</v>
      </c>
      <c r="J118" s="587"/>
      <c r="K118" s="587"/>
      <c r="L118" s="587"/>
      <c r="M118" s="288"/>
      <c r="N118" s="288"/>
      <c r="O118" s="288"/>
      <c r="P118" s="288"/>
      <c r="Q118" s="288"/>
      <c r="R118" s="288"/>
      <c r="S118" s="288"/>
      <c r="T118" s="131"/>
      <c r="U118" s="131"/>
    </row>
    <row r="119" spans="1:21" s="85" customFormat="1" x14ac:dyDescent="0.25">
      <c r="A119" s="8" t="s">
        <v>10</v>
      </c>
      <c r="B119" s="450">
        <v>8</v>
      </c>
      <c r="C119" s="113">
        <v>1.18</v>
      </c>
      <c r="D119" s="105">
        <f t="shared" si="17"/>
        <v>9.44</v>
      </c>
      <c r="E119" s="39">
        <f t="shared" si="18"/>
        <v>0.94399999999999995</v>
      </c>
      <c r="F119" s="57" t="s">
        <v>16</v>
      </c>
      <c r="G119" s="108"/>
      <c r="H119" s="108">
        <f t="shared" si="19"/>
        <v>0</v>
      </c>
      <c r="J119" s="50"/>
      <c r="K119" s="50"/>
      <c r="L119" s="50"/>
      <c r="M119" s="287"/>
      <c r="N119" s="131"/>
      <c r="O119" s="131"/>
      <c r="P119" s="131"/>
      <c r="Q119" s="131"/>
      <c r="R119" s="131"/>
      <c r="S119" s="131"/>
      <c r="T119" s="51"/>
      <c r="U119" s="51"/>
    </row>
    <row r="120" spans="1:21" s="85" customFormat="1" x14ac:dyDescent="0.25">
      <c r="A120" s="8" t="s">
        <v>2</v>
      </c>
      <c r="B120" s="444">
        <v>4</v>
      </c>
      <c r="C120" s="113">
        <v>1.08</v>
      </c>
      <c r="D120" s="112">
        <f t="shared" si="17"/>
        <v>4.32</v>
      </c>
      <c r="E120" s="39">
        <f t="shared" si="18"/>
        <v>0.432</v>
      </c>
      <c r="F120" s="57" t="s">
        <v>16</v>
      </c>
      <c r="G120" s="108"/>
      <c r="H120" s="108">
        <f t="shared" si="19"/>
        <v>0</v>
      </c>
      <c r="M120" s="50"/>
      <c r="N120" s="51"/>
      <c r="O120" s="51"/>
      <c r="P120" s="51"/>
      <c r="Q120" s="51"/>
      <c r="R120" s="51"/>
      <c r="S120" s="51"/>
    </row>
    <row r="121" spans="1:21" s="85" customFormat="1" x14ac:dyDescent="0.25">
      <c r="A121" s="104" t="s">
        <v>12</v>
      </c>
      <c r="B121" s="440">
        <v>0.4</v>
      </c>
      <c r="C121" s="113">
        <v>1.35</v>
      </c>
      <c r="D121" s="112">
        <f t="shared" si="17"/>
        <v>0.54</v>
      </c>
      <c r="E121" s="39">
        <f>D121*$C$26/30</f>
        <v>1.8</v>
      </c>
      <c r="F121" s="91" t="s">
        <v>109</v>
      </c>
      <c r="G121" s="108"/>
      <c r="H121" s="108">
        <f>D121*G121/30</f>
        <v>0</v>
      </c>
      <c r="N121" s="123"/>
      <c r="O121" s="123"/>
      <c r="P121" s="123"/>
      <c r="Q121" s="48"/>
    </row>
    <row r="122" spans="1:21" s="85" customFormat="1" ht="18" x14ac:dyDescent="0.25">
      <c r="A122" s="8" t="s">
        <v>3</v>
      </c>
      <c r="B122" s="445">
        <v>0.5</v>
      </c>
      <c r="C122" s="92">
        <v>1.18</v>
      </c>
      <c r="D122" s="112">
        <f t="shared" si="17"/>
        <v>0.59</v>
      </c>
      <c r="E122" s="39">
        <f>D122*$C$26/1000</f>
        <v>5.8999999999999997E-2</v>
      </c>
      <c r="F122" s="57" t="s">
        <v>16</v>
      </c>
      <c r="G122" s="108"/>
      <c r="H122" s="108">
        <f>D122*G122/1000</f>
        <v>0</v>
      </c>
      <c r="N122" s="290"/>
      <c r="O122" s="175"/>
      <c r="P122" s="123"/>
    </row>
    <row r="123" spans="1:21" s="85" customFormat="1" ht="15.75" thickBot="1" x14ac:dyDescent="0.3">
      <c r="A123" s="8" t="s">
        <v>6</v>
      </c>
      <c r="B123" s="440">
        <v>0.7</v>
      </c>
      <c r="C123" s="113">
        <v>1</v>
      </c>
      <c r="D123" s="113">
        <f t="shared" si="17"/>
        <v>0.7</v>
      </c>
      <c r="E123" s="39">
        <f>D123*$C$26/100</f>
        <v>0.7</v>
      </c>
      <c r="F123" s="57" t="s">
        <v>71</v>
      </c>
      <c r="G123" s="108"/>
      <c r="H123" s="108">
        <f>D123*G123/100</f>
        <v>0</v>
      </c>
      <c r="N123" s="123"/>
      <c r="O123" s="123"/>
      <c r="P123" s="123"/>
      <c r="T123" s="413"/>
    </row>
    <row r="124" spans="1:21" s="85" customFormat="1" ht="19.5" thickBot="1" x14ac:dyDescent="0.3">
      <c r="A124" s="8" t="s">
        <v>127</v>
      </c>
      <c r="B124" s="440">
        <v>1</v>
      </c>
      <c r="C124" s="113">
        <v>1</v>
      </c>
      <c r="D124" s="113">
        <f t="shared" si="17"/>
        <v>1</v>
      </c>
      <c r="E124" s="39">
        <f>D124*$C$26/900</f>
        <v>0.1111111111111111</v>
      </c>
      <c r="F124" s="155" t="s">
        <v>131</v>
      </c>
      <c r="G124" s="108"/>
      <c r="H124" s="108">
        <f>D124*G124/900</f>
        <v>0</v>
      </c>
      <c r="P124" s="572" t="s">
        <v>94</v>
      </c>
      <c r="Q124" s="573"/>
      <c r="R124" s="589">
        <f>SUM(H88,H100,H107,Q99,H127)</f>
        <v>0</v>
      </c>
      <c r="S124" s="590"/>
      <c r="T124" s="493"/>
      <c r="U124" s="406"/>
    </row>
    <row r="125" spans="1:21" s="85" customFormat="1" ht="18.75" x14ac:dyDescent="0.25">
      <c r="A125" s="8" t="s">
        <v>5</v>
      </c>
      <c r="B125" s="440">
        <v>0.5</v>
      </c>
      <c r="C125" s="113">
        <v>1</v>
      </c>
      <c r="D125" s="113">
        <f t="shared" si="17"/>
        <v>0.5</v>
      </c>
      <c r="E125" s="39">
        <f>D125*$C$26/1000</f>
        <v>0.05</v>
      </c>
      <c r="F125" s="57" t="s">
        <v>16</v>
      </c>
      <c r="G125" s="108"/>
      <c r="H125" s="108">
        <f>D125*G125/1000</f>
        <v>0</v>
      </c>
      <c r="P125" s="591"/>
      <c r="Q125" s="591"/>
      <c r="R125" s="406"/>
      <c r="S125" s="406"/>
    </row>
    <row r="126" spans="1:21" s="85" customFormat="1" ht="18.75" x14ac:dyDescent="0.25">
      <c r="A126" s="8" t="s">
        <v>209</v>
      </c>
      <c r="B126" s="440">
        <v>20</v>
      </c>
      <c r="C126" s="113">
        <v>1</v>
      </c>
      <c r="D126" s="113">
        <f t="shared" si="17"/>
        <v>20</v>
      </c>
      <c r="E126" s="39">
        <f>D126*$C$26/400</f>
        <v>5</v>
      </c>
      <c r="F126" s="57" t="s">
        <v>34</v>
      </c>
      <c r="G126" s="108"/>
      <c r="H126" s="108">
        <f>D126*G126/400</f>
        <v>0</v>
      </c>
      <c r="P126" s="475"/>
      <c r="Q126" s="475"/>
      <c r="R126" s="406"/>
      <c r="S126" s="406"/>
    </row>
    <row r="127" spans="1:21" s="85" customFormat="1" ht="18.75" x14ac:dyDescent="0.25">
      <c r="A127" s="409"/>
      <c r="B127" s="118"/>
      <c r="C127" s="118"/>
      <c r="D127" s="118"/>
      <c r="E127" s="410"/>
      <c r="F127" s="118"/>
      <c r="G127" s="79"/>
      <c r="H127" s="47">
        <f>SUM(H114:H126)</f>
        <v>0</v>
      </c>
      <c r="P127" s="475"/>
      <c r="Q127" s="475"/>
      <c r="R127" s="406"/>
      <c r="S127" s="406"/>
    </row>
    <row r="128" spans="1:21" s="85" customFormat="1" ht="18.75" x14ac:dyDescent="0.25">
      <c r="A128" s="158"/>
      <c r="B128" s="118"/>
      <c r="C128" s="118"/>
      <c r="D128" s="118"/>
      <c r="E128" s="173"/>
      <c r="F128" s="118"/>
      <c r="G128" s="147"/>
      <c r="H128" s="46"/>
      <c r="P128" s="475"/>
      <c r="Q128" s="475"/>
      <c r="R128" s="406"/>
      <c r="S128" s="406"/>
    </row>
    <row r="129" spans="1:27" s="85" customFormat="1" ht="15" customHeight="1" x14ac:dyDescent="0.25"/>
    <row r="130" spans="1:27" ht="25.5" x14ac:dyDescent="0.25">
      <c r="A130" s="576" t="s">
        <v>20</v>
      </c>
      <c r="B130" s="576"/>
      <c r="C130" s="576"/>
      <c r="D130" s="576"/>
      <c r="E130" s="576"/>
      <c r="F130" s="576"/>
      <c r="G130" s="576"/>
      <c r="H130" s="576"/>
      <c r="I130" s="576"/>
      <c r="J130" s="576"/>
      <c r="K130" s="576"/>
      <c r="L130" s="576"/>
      <c r="M130" s="576"/>
      <c r="N130" s="576"/>
      <c r="O130" s="576"/>
      <c r="P130" s="576"/>
      <c r="Q130" s="576"/>
      <c r="R130" s="576"/>
      <c r="S130" s="576"/>
      <c r="T130" s="576"/>
      <c r="U130" s="576"/>
      <c r="V130" s="576"/>
      <c r="W130" s="576"/>
      <c r="X130" s="576"/>
      <c r="Y130" s="576"/>
      <c r="Z130" s="576"/>
      <c r="AA130" s="576"/>
    </row>
    <row r="131" spans="1:27" x14ac:dyDescent="0.25">
      <c r="A131" s="85"/>
      <c r="B131" s="85"/>
      <c r="C131" s="85"/>
      <c r="D131" s="85"/>
      <c r="E131" s="85"/>
      <c r="F131" s="85"/>
      <c r="G131" s="85"/>
      <c r="H131" s="85"/>
      <c r="I131" s="100"/>
      <c r="M131" s="291"/>
      <c r="N131" s="291"/>
      <c r="O131" s="291"/>
      <c r="P131" s="291"/>
      <c r="Q131" s="291"/>
      <c r="T131" s="291"/>
      <c r="U131" s="291"/>
      <c r="V131" s="291"/>
      <c r="W131" s="291"/>
      <c r="X131" s="291"/>
      <c r="Y131" s="291"/>
      <c r="Z131" s="291"/>
    </row>
    <row r="132" spans="1:27" x14ac:dyDescent="0.25">
      <c r="A132" s="577" t="s">
        <v>59</v>
      </c>
      <c r="B132" s="577"/>
      <c r="C132" s="577"/>
      <c r="D132" s="577"/>
      <c r="E132" s="577"/>
      <c r="F132" s="577"/>
      <c r="G132" s="577"/>
      <c r="H132" s="577"/>
      <c r="I132" s="577"/>
      <c r="J132" s="577"/>
      <c r="K132" s="577"/>
      <c r="L132" s="577"/>
      <c r="M132" s="577"/>
      <c r="N132" s="577"/>
      <c r="O132" s="577"/>
      <c r="P132" s="577"/>
      <c r="Q132" s="577"/>
      <c r="R132" s="577"/>
      <c r="S132" s="577"/>
      <c r="T132" s="577"/>
      <c r="U132" s="577"/>
      <c r="V132" s="577"/>
      <c r="W132" s="577"/>
      <c r="X132" s="577"/>
      <c r="Y132" s="577"/>
      <c r="Z132" s="577"/>
      <c r="AA132" s="577"/>
    </row>
    <row r="133" spans="1:27" ht="15.75" thickBot="1" x14ac:dyDescent="0.3">
      <c r="B133" s="83"/>
      <c r="C133" s="83"/>
      <c r="D133" s="83"/>
      <c r="E133" s="83"/>
      <c r="F133" s="83"/>
    </row>
    <row r="134" spans="1:27" ht="15.75" thickBot="1" x14ac:dyDescent="0.3">
      <c r="A134" s="566" t="s">
        <v>212</v>
      </c>
      <c r="B134" s="567"/>
      <c r="C134" s="567"/>
      <c r="D134" s="567"/>
      <c r="E134" s="567"/>
      <c r="F134" s="567"/>
      <c r="G134" s="567"/>
      <c r="H134" s="568"/>
      <c r="I134" s="84"/>
    </row>
    <row r="135" spans="1:27" x14ac:dyDescent="0.25">
      <c r="A135" s="101" t="s">
        <v>13</v>
      </c>
      <c r="B135" s="101" t="s">
        <v>17</v>
      </c>
      <c r="C135" s="135" t="s">
        <v>107</v>
      </c>
      <c r="D135" s="135" t="s">
        <v>108</v>
      </c>
      <c r="E135" s="569" t="s">
        <v>15</v>
      </c>
      <c r="F135" s="570"/>
      <c r="G135" s="101" t="s">
        <v>42</v>
      </c>
      <c r="H135" s="101" t="s">
        <v>43</v>
      </c>
      <c r="I135" s="136"/>
    </row>
    <row r="136" spans="1:27" x14ac:dyDescent="0.25">
      <c r="A136" s="104" t="s">
        <v>27</v>
      </c>
      <c r="B136" s="442">
        <v>50</v>
      </c>
      <c r="C136" s="113">
        <v>1.55</v>
      </c>
      <c r="D136" s="113">
        <f>B136*C136</f>
        <v>77.5</v>
      </c>
      <c r="E136" s="4">
        <f>D136*$C$26/1000</f>
        <v>7.75</v>
      </c>
      <c r="F136" s="137" t="s">
        <v>25</v>
      </c>
      <c r="G136" s="138"/>
      <c r="H136" s="15">
        <f>D136*G136/1000</f>
        <v>0</v>
      </c>
      <c r="I136" s="118"/>
      <c r="J136" s="595"/>
      <c r="K136" s="595"/>
      <c r="L136" s="595"/>
    </row>
    <row r="137" spans="1:27" x14ac:dyDescent="0.25">
      <c r="A137" s="104" t="s">
        <v>98</v>
      </c>
      <c r="B137" s="442">
        <v>50</v>
      </c>
      <c r="C137" s="113">
        <v>1.56</v>
      </c>
      <c r="D137" s="112">
        <f t="shared" ref="D137:D138" si="20">B137*C137</f>
        <v>78</v>
      </c>
      <c r="E137" s="4">
        <f>D137*$C$26/1000</f>
        <v>7.8</v>
      </c>
      <c r="F137" s="137" t="s">
        <v>25</v>
      </c>
      <c r="G137" s="138"/>
      <c r="H137" s="15">
        <f>D137*G137/1000</f>
        <v>0</v>
      </c>
      <c r="I137" s="118"/>
      <c r="J137" s="118"/>
      <c r="K137" s="118"/>
      <c r="L137" s="118"/>
      <c r="M137" s="292"/>
    </row>
    <row r="138" spans="1:27" s="124" customFormat="1" x14ac:dyDescent="0.25">
      <c r="A138" s="104" t="s">
        <v>99</v>
      </c>
      <c r="B138" s="442">
        <v>60</v>
      </c>
      <c r="C138" s="113">
        <v>1.6</v>
      </c>
      <c r="D138" s="112">
        <f t="shared" si="20"/>
        <v>96</v>
      </c>
      <c r="E138" s="4">
        <f>D138*$C$26/1000</f>
        <v>9.6</v>
      </c>
      <c r="F138" s="4" t="s">
        <v>16</v>
      </c>
      <c r="G138" s="138"/>
      <c r="H138" s="15">
        <f>D138*G138/1000</f>
        <v>0</v>
      </c>
      <c r="I138" s="79"/>
      <c r="J138" s="118"/>
      <c r="K138" s="118"/>
      <c r="L138" s="118"/>
      <c r="M138" s="118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</row>
    <row r="139" spans="1:27" s="124" customFormat="1" x14ac:dyDescent="0.25">
      <c r="A139" s="8" t="s">
        <v>100</v>
      </c>
      <c r="B139" s="96">
        <v>50</v>
      </c>
      <c r="C139" s="113">
        <v>1.36</v>
      </c>
      <c r="D139" s="113">
        <f>B139*C139</f>
        <v>68</v>
      </c>
      <c r="E139" s="4">
        <f>D139*$C$26/1000</f>
        <v>6.8</v>
      </c>
      <c r="F139" s="91" t="s">
        <v>25</v>
      </c>
      <c r="G139" s="15"/>
      <c r="H139" s="15">
        <f>D139*G139/1000</f>
        <v>0</v>
      </c>
      <c r="I139" s="79"/>
      <c r="J139" s="118"/>
      <c r="K139" s="118"/>
      <c r="L139" s="118"/>
      <c r="M139" s="118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</row>
    <row r="140" spans="1:27" x14ac:dyDescent="0.25">
      <c r="A140" s="98"/>
      <c r="B140" s="451"/>
      <c r="C140" s="99"/>
      <c r="D140" s="99"/>
      <c r="E140" s="89"/>
      <c r="F140" s="89"/>
      <c r="H140" s="47">
        <f>SUM(H136:H139)</f>
        <v>0</v>
      </c>
      <c r="I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</row>
    <row r="141" spans="1:27" s="85" customFormat="1" x14ac:dyDescent="0.25">
      <c r="A141" s="124"/>
      <c r="B141" s="124"/>
      <c r="C141" s="124"/>
      <c r="D141" s="124"/>
      <c r="E141" s="124"/>
      <c r="F141" s="124"/>
      <c r="G141" s="124"/>
      <c r="H141" s="40"/>
      <c r="J141" s="100"/>
      <c r="K141" s="100"/>
      <c r="L141" s="100"/>
      <c r="R141" s="100"/>
      <c r="S141" s="100"/>
    </row>
    <row r="142" spans="1:27" x14ac:dyDescent="0.25">
      <c r="A142" s="577" t="s">
        <v>60</v>
      </c>
      <c r="B142" s="577"/>
      <c r="C142" s="577"/>
      <c r="D142" s="577"/>
      <c r="E142" s="577"/>
      <c r="F142" s="577"/>
      <c r="G142" s="577"/>
      <c r="H142" s="577"/>
      <c r="I142" s="577"/>
      <c r="J142" s="577"/>
      <c r="K142" s="577"/>
      <c r="L142" s="577"/>
      <c r="M142" s="577"/>
      <c r="N142" s="577"/>
      <c r="O142" s="577"/>
      <c r="P142" s="577"/>
      <c r="Q142" s="577"/>
      <c r="R142" s="577"/>
      <c r="S142" s="577"/>
      <c r="T142" s="577"/>
      <c r="U142" s="577"/>
      <c r="V142" s="577"/>
      <c r="W142" s="577"/>
      <c r="X142" s="577"/>
      <c r="Y142" s="577"/>
      <c r="Z142" s="577"/>
      <c r="AA142" s="577"/>
    </row>
    <row r="143" spans="1:27" ht="15.75" thickBot="1" x14ac:dyDescent="0.3">
      <c r="A143" s="100"/>
      <c r="B143" s="100"/>
      <c r="C143" s="100"/>
      <c r="D143" s="100"/>
      <c r="E143" s="100"/>
      <c r="F143" s="100"/>
      <c r="G143" s="100"/>
      <c r="H143" s="100"/>
      <c r="M143" s="100"/>
      <c r="N143" s="100"/>
      <c r="O143" s="100"/>
      <c r="P143" s="100"/>
      <c r="Q143" s="100"/>
      <c r="S143" s="100"/>
      <c r="T143" s="100"/>
      <c r="U143" s="100"/>
      <c r="V143" s="100"/>
      <c r="W143" s="100"/>
      <c r="X143" s="100"/>
      <c r="Y143" s="100"/>
      <c r="Z143" s="100"/>
    </row>
    <row r="144" spans="1:27" ht="15.75" thickBot="1" x14ac:dyDescent="0.3">
      <c r="A144" s="566" t="s">
        <v>207</v>
      </c>
      <c r="B144" s="567"/>
      <c r="C144" s="567"/>
      <c r="D144" s="567"/>
      <c r="E144" s="567"/>
      <c r="F144" s="567"/>
      <c r="G144" s="567"/>
      <c r="H144" s="568"/>
      <c r="J144" s="566" t="s">
        <v>61</v>
      </c>
      <c r="K144" s="567"/>
      <c r="L144" s="567"/>
      <c r="M144" s="567"/>
      <c r="N144" s="567"/>
      <c r="O144" s="567"/>
      <c r="P144" s="567"/>
      <c r="Q144" s="568"/>
      <c r="T144" s="566" t="s">
        <v>50</v>
      </c>
      <c r="U144" s="567"/>
      <c r="V144" s="567"/>
      <c r="W144" s="567"/>
      <c r="X144" s="567"/>
      <c r="Y144" s="567"/>
      <c r="Z144" s="567"/>
      <c r="AA144" s="568"/>
    </row>
    <row r="145" spans="1:28" ht="25.5" x14ac:dyDescent="0.25">
      <c r="A145" s="101" t="s">
        <v>13</v>
      </c>
      <c r="B145" s="102" t="s">
        <v>45</v>
      </c>
      <c r="C145" s="103" t="s">
        <v>107</v>
      </c>
      <c r="D145" s="103" t="s">
        <v>108</v>
      </c>
      <c r="E145" s="569" t="s">
        <v>15</v>
      </c>
      <c r="F145" s="570"/>
      <c r="G145" s="101" t="s">
        <v>0</v>
      </c>
      <c r="H145" s="101" t="s">
        <v>1</v>
      </c>
      <c r="J145" s="101" t="s">
        <v>13</v>
      </c>
      <c r="K145" s="102" t="s">
        <v>45</v>
      </c>
      <c r="L145" s="102" t="s">
        <v>107</v>
      </c>
      <c r="M145" s="103" t="s">
        <v>108</v>
      </c>
      <c r="N145" s="569" t="s">
        <v>15</v>
      </c>
      <c r="O145" s="570"/>
      <c r="P145" s="101" t="s">
        <v>0</v>
      </c>
      <c r="Q145" s="101" t="s">
        <v>1</v>
      </c>
      <c r="T145" s="101" t="s">
        <v>13</v>
      </c>
      <c r="U145" s="102" t="s">
        <v>45</v>
      </c>
      <c r="V145" s="498" t="s">
        <v>107</v>
      </c>
      <c r="W145" s="499" t="s">
        <v>108</v>
      </c>
      <c r="X145" s="578" t="s">
        <v>15</v>
      </c>
      <c r="Y145" s="578"/>
      <c r="Z145" s="101" t="s">
        <v>0</v>
      </c>
      <c r="AA145" s="101" t="s">
        <v>1</v>
      </c>
    </row>
    <row r="146" spans="1:28" x14ac:dyDescent="0.25">
      <c r="A146" s="104" t="s">
        <v>46</v>
      </c>
      <c r="B146" s="96">
        <v>25</v>
      </c>
      <c r="C146" s="113">
        <v>1.18</v>
      </c>
      <c r="D146" s="141">
        <f>B146*C146</f>
        <v>29.5</v>
      </c>
      <c r="E146" s="494">
        <f>D146*$C$26/1000</f>
        <v>2.95</v>
      </c>
      <c r="F146" s="14" t="s">
        <v>25</v>
      </c>
      <c r="G146" s="106"/>
      <c r="H146" s="15">
        <f>D146*G146/1000</f>
        <v>0</v>
      </c>
      <c r="J146" s="90" t="s">
        <v>49</v>
      </c>
      <c r="K146" s="91">
        <v>20</v>
      </c>
      <c r="L146" s="414">
        <v>1</v>
      </c>
      <c r="M146" s="141">
        <f>K146*L146</f>
        <v>20</v>
      </c>
      <c r="N146" s="497">
        <f>M146*C26/1000</f>
        <v>2</v>
      </c>
      <c r="O146" s="14" t="s">
        <v>25</v>
      </c>
      <c r="P146" s="106"/>
      <c r="Q146" s="15">
        <f>M146*P146/1000</f>
        <v>0</v>
      </c>
      <c r="T146" s="104" t="s">
        <v>50</v>
      </c>
      <c r="U146" s="96">
        <v>15</v>
      </c>
      <c r="V146" s="107">
        <v>1</v>
      </c>
      <c r="W146" s="144">
        <f t="shared" ref="W146:W152" si="21">U146*V146</f>
        <v>15</v>
      </c>
      <c r="X146" s="142">
        <f>W146*$C$26/1000</f>
        <v>1.5</v>
      </c>
      <c r="Y146" s="91" t="s">
        <v>25</v>
      </c>
      <c r="Z146" s="108"/>
      <c r="AA146" s="15">
        <f>W146*Z146/1000</f>
        <v>0</v>
      </c>
    </row>
    <row r="147" spans="1:28" x14ac:dyDescent="0.25">
      <c r="A147" s="104" t="s">
        <v>2</v>
      </c>
      <c r="B147" s="444">
        <v>4</v>
      </c>
      <c r="C147" s="113">
        <v>1.08</v>
      </c>
      <c r="D147" s="145">
        <f t="shared" ref="D147" si="22">B147*C147</f>
        <v>4.32</v>
      </c>
      <c r="E147" s="494">
        <f t="shared" ref="E147:E151" si="23">D147*$C$26/1000</f>
        <v>0.432</v>
      </c>
      <c r="F147" s="14" t="s">
        <v>25</v>
      </c>
      <c r="G147" s="108"/>
      <c r="H147" s="15">
        <f>D147*G147/1000</f>
        <v>0</v>
      </c>
      <c r="J147" s="90" t="s">
        <v>5</v>
      </c>
      <c r="K147" s="96">
        <v>0.5</v>
      </c>
      <c r="L147" s="414">
        <v>1</v>
      </c>
      <c r="M147" s="145">
        <f t="shared" ref="M147:M150" si="24">K147*L147</f>
        <v>0.5</v>
      </c>
      <c r="N147" s="494">
        <f>M147*C26/1000</f>
        <v>0.05</v>
      </c>
      <c r="O147" s="14" t="s">
        <v>25</v>
      </c>
      <c r="P147" s="106"/>
      <c r="Q147" s="15">
        <f t="shared" ref="Q147:Q149" si="25">M147*P147/1000</f>
        <v>0</v>
      </c>
      <c r="T147" s="104" t="s">
        <v>51</v>
      </c>
      <c r="U147" s="442">
        <v>15</v>
      </c>
      <c r="V147" s="107">
        <v>1.35</v>
      </c>
      <c r="W147" s="145">
        <f t="shared" si="21"/>
        <v>20.25</v>
      </c>
      <c r="X147" s="142">
        <f t="shared" ref="X147:X154" si="26">W147*$C$26/1000</f>
        <v>2.0249999999999999</v>
      </c>
      <c r="Y147" s="91" t="s">
        <v>25</v>
      </c>
      <c r="Z147" s="108"/>
      <c r="AA147" s="15">
        <f t="shared" ref="AA147:AA149" si="27">W147*Z147/1000</f>
        <v>0</v>
      </c>
    </row>
    <row r="148" spans="1:28" x14ac:dyDescent="0.25">
      <c r="A148" s="104" t="s">
        <v>3</v>
      </c>
      <c r="B148" s="96">
        <v>0.5</v>
      </c>
      <c r="C148" s="113">
        <v>1.18</v>
      </c>
      <c r="D148" s="145">
        <f t="shared" ref="D148:D152" si="28">B148*C148</f>
        <v>0.59</v>
      </c>
      <c r="E148" s="494">
        <f t="shared" si="23"/>
        <v>5.8999999999999997E-2</v>
      </c>
      <c r="F148" s="14" t="s">
        <v>25</v>
      </c>
      <c r="G148" s="108"/>
      <c r="H148" s="15">
        <f t="shared" ref="H148" si="29">D148*G148/1000</f>
        <v>0</v>
      </c>
      <c r="J148" s="90" t="s">
        <v>3</v>
      </c>
      <c r="K148" s="91">
        <v>0.5</v>
      </c>
      <c r="L148" s="414">
        <v>1.18</v>
      </c>
      <c r="M148" s="145">
        <f t="shared" si="24"/>
        <v>0.59</v>
      </c>
      <c r="N148" s="494">
        <f>M148*C26/1000</f>
        <v>5.8999999999999997E-2</v>
      </c>
      <c r="O148" s="14" t="s">
        <v>25</v>
      </c>
      <c r="P148" s="106"/>
      <c r="Q148" s="15">
        <f t="shared" si="25"/>
        <v>0</v>
      </c>
      <c r="T148" s="104" t="s">
        <v>52</v>
      </c>
      <c r="U148" s="96">
        <v>10</v>
      </c>
      <c r="V148" s="107">
        <v>1.1599999999999999</v>
      </c>
      <c r="W148" s="141">
        <f t="shared" si="21"/>
        <v>11.6</v>
      </c>
      <c r="X148" s="142">
        <f t="shared" si="26"/>
        <v>1.1599999999999999</v>
      </c>
      <c r="Y148" s="91" t="s">
        <v>25</v>
      </c>
      <c r="Z148" s="108"/>
      <c r="AA148" s="15">
        <f t="shared" si="27"/>
        <v>0</v>
      </c>
    </row>
    <row r="149" spans="1:28" ht="15" customHeight="1" x14ac:dyDescent="0.25">
      <c r="A149" s="104" t="s">
        <v>47</v>
      </c>
      <c r="B149" s="96">
        <v>0.7</v>
      </c>
      <c r="C149" s="113">
        <v>1</v>
      </c>
      <c r="D149" s="145">
        <f t="shared" si="28"/>
        <v>0.7</v>
      </c>
      <c r="E149" s="494">
        <f>D149*$C$26/100</f>
        <v>0.7</v>
      </c>
      <c r="F149" s="14" t="s">
        <v>36</v>
      </c>
      <c r="G149" s="108"/>
      <c r="H149" s="15">
        <f>D149*G149/100</f>
        <v>0</v>
      </c>
      <c r="J149" s="90" t="s">
        <v>2</v>
      </c>
      <c r="K149" s="444">
        <v>4</v>
      </c>
      <c r="L149" s="414">
        <v>1.08</v>
      </c>
      <c r="M149" s="145">
        <f t="shared" si="24"/>
        <v>4.32</v>
      </c>
      <c r="N149" s="494">
        <f>M149*C26/1000</f>
        <v>0.432</v>
      </c>
      <c r="O149" s="14" t="s">
        <v>25</v>
      </c>
      <c r="P149" s="106"/>
      <c r="Q149" s="15">
        <f t="shared" si="25"/>
        <v>0</v>
      </c>
      <c r="T149" s="104" t="s">
        <v>53</v>
      </c>
      <c r="U149" s="96">
        <v>0.5</v>
      </c>
      <c r="V149" s="107">
        <v>1.18</v>
      </c>
      <c r="W149" s="145">
        <f t="shared" si="21"/>
        <v>0.59</v>
      </c>
      <c r="X149" s="142">
        <f t="shared" si="26"/>
        <v>5.8999999999999997E-2</v>
      </c>
      <c r="Y149" s="91" t="s">
        <v>25</v>
      </c>
      <c r="Z149" s="108"/>
      <c r="AA149" s="15">
        <f t="shared" si="27"/>
        <v>0</v>
      </c>
    </row>
    <row r="150" spans="1:28" ht="15" customHeight="1" x14ac:dyDescent="0.25">
      <c r="A150" s="104" t="s">
        <v>5</v>
      </c>
      <c r="B150" s="96">
        <v>0.5</v>
      </c>
      <c r="C150" s="113">
        <v>1</v>
      </c>
      <c r="D150" s="145">
        <f t="shared" si="28"/>
        <v>0.5</v>
      </c>
      <c r="E150" s="494">
        <f t="shared" si="23"/>
        <v>0.05</v>
      </c>
      <c r="F150" s="14" t="s">
        <v>25</v>
      </c>
      <c r="G150" s="108"/>
      <c r="H150" s="15">
        <f t="shared" ref="H150:H151" si="30">D150*G150/1000</f>
        <v>0</v>
      </c>
      <c r="J150" s="90" t="s">
        <v>127</v>
      </c>
      <c r="K150" s="96">
        <v>2</v>
      </c>
      <c r="L150" s="414">
        <v>1</v>
      </c>
      <c r="M150" s="141">
        <f t="shared" si="24"/>
        <v>2</v>
      </c>
      <c r="N150" s="494">
        <f>M150*C26/900</f>
        <v>0.22222222222222221</v>
      </c>
      <c r="O150" s="14" t="s">
        <v>40</v>
      </c>
      <c r="P150" s="106"/>
      <c r="Q150" s="15">
        <f>M150*P150/900</f>
        <v>0</v>
      </c>
      <c r="T150" s="104" t="s">
        <v>10</v>
      </c>
      <c r="U150" s="443">
        <v>8</v>
      </c>
      <c r="V150" s="113">
        <v>1.18</v>
      </c>
      <c r="W150" s="145">
        <f t="shared" si="21"/>
        <v>9.44</v>
      </c>
      <c r="X150" s="142">
        <f t="shared" si="26"/>
        <v>0.94399999999999995</v>
      </c>
      <c r="Y150" s="14" t="s">
        <v>25</v>
      </c>
      <c r="Z150" s="108"/>
      <c r="AA150" s="15">
        <f>W149*Z149/1000</f>
        <v>0</v>
      </c>
    </row>
    <row r="151" spans="1:28" ht="15.75" customHeight="1" x14ac:dyDescent="0.25">
      <c r="A151" s="104" t="s">
        <v>10</v>
      </c>
      <c r="B151" s="443">
        <v>8</v>
      </c>
      <c r="C151" s="113">
        <v>1.33</v>
      </c>
      <c r="D151" s="145">
        <f t="shared" si="28"/>
        <v>10.64</v>
      </c>
      <c r="E151" s="494">
        <f t="shared" si="23"/>
        <v>1.0640000000000001</v>
      </c>
      <c r="F151" s="14" t="s">
        <v>25</v>
      </c>
      <c r="G151" s="108"/>
      <c r="H151" s="15">
        <f t="shared" si="30"/>
        <v>0</v>
      </c>
      <c r="Q151" s="47">
        <f>SUM(Q146:Q150)</f>
        <v>0</v>
      </c>
      <c r="T151" s="104" t="s">
        <v>2</v>
      </c>
      <c r="U151" s="444">
        <v>4</v>
      </c>
      <c r="V151" s="107">
        <v>1.08</v>
      </c>
      <c r="W151" s="145">
        <f t="shared" si="21"/>
        <v>4.32</v>
      </c>
      <c r="X151" s="142">
        <f t="shared" si="26"/>
        <v>0.432</v>
      </c>
      <c r="Y151" s="91" t="s">
        <v>25</v>
      </c>
      <c r="Z151" s="108"/>
      <c r="AA151" s="15">
        <f>W150*Z150/1000</f>
        <v>0</v>
      </c>
    </row>
    <row r="152" spans="1:28" ht="15.75" customHeight="1" x14ac:dyDescent="0.25">
      <c r="A152" s="104" t="s">
        <v>128</v>
      </c>
      <c r="B152" s="96">
        <v>2</v>
      </c>
      <c r="C152" s="113">
        <v>1</v>
      </c>
      <c r="D152" s="141">
        <f t="shared" si="28"/>
        <v>2</v>
      </c>
      <c r="E152" s="494">
        <f>D152*$C$26/900</f>
        <v>0.22222222222222221</v>
      </c>
      <c r="F152" s="14" t="s">
        <v>40</v>
      </c>
      <c r="G152" s="108"/>
      <c r="H152" s="15">
        <f>D152*G152/900</f>
        <v>0</v>
      </c>
      <c r="J152" s="126"/>
      <c r="K152" s="126"/>
      <c r="L152" s="126"/>
      <c r="M152" s="126"/>
      <c r="T152" s="104" t="s">
        <v>127</v>
      </c>
      <c r="U152" s="96">
        <v>1</v>
      </c>
      <c r="V152" s="107">
        <v>1</v>
      </c>
      <c r="W152" s="144">
        <f t="shared" si="21"/>
        <v>1</v>
      </c>
      <c r="X152" s="142">
        <f>W152*$C$26/900</f>
        <v>0.1111111111111111</v>
      </c>
      <c r="Y152" s="14" t="s">
        <v>40</v>
      </c>
      <c r="Z152" s="108"/>
      <c r="AA152" s="15">
        <f>W151*Z151/1000</f>
        <v>0</v>
      </c>
    </row>
    <row r="153" spans="1:28" ht="15.75" customHeight="1" x14ac:dyDescent="0.25">
      <c r="A153" s="156"/>
      <c r="B153" s="121"/>
      <c r="C153" s="152"/>
      <c r="D153" s="495"/>
      <c r="E153" s="496"/>
      <c r="F153" s="118"/>
      <c r="G153" s="147"/>
      <c r="H153" s="150">
        <f>SUM(H146:H152)</f>
        <v>0</v>
      </c>
      <c r="J153" s="126"/>
      <c r="K153" s="126"/>
      <c r="L153" s="126"/>
      <c r="M153" s="126"/>
      <c r="T153" s="104" t="s">
        <v>12</v>
      </c>
      <c r="U153" s="96">
        <f>W153/V153</f>
        <v>0.4</v>
      </c>
      <c r="V153" s="107">
        <v>1.35</v>
      </c>
      <c r="W153" s="145">
        <v>0.54</v>
      </c>
      <c r="X153" s="142">
        <f>W153*$C$26/30</f>
        <v>1.8</v>
      </c>
      <c r="Y153" s="91" t="s">
        <v>109</v>
      </c>
      <c r="Z153" s="108"/>
      <c r="AA153" s="15">
        <f>W152*Z152/900</f>
        <v>0</v>
      </c>
    </row>
    <row r="154" spans="1:28" x14ac:dyDescent="0.25">
      <c r="A154" s="120"/>
      <c r="B154" s="99"/>
      <c r="C154" s="99"/>
      <c r="D154" s="99"/>
      <c r="E154" s="146"/>
      <c r="F154" s="118"/>
      <c r="G154" s="147"/>
      <c r="H154" s="46"/>
      <c r="T154" s="104" t="s">
        <v>5</v>
      </c>
      <c r="U154" s="96">
        <v>0.5</v>
      </c>
      <c r="V154" s="107">
        <v>1</v>
      </c>
      <c r="W154" s="144">
        <v>0.5</v>
      </c>
      <c r="X154" s="142">
        <f t="shared" si="26"/>
        <v>0.05</v>
      </c>
      <c r="Y154" s="91" t="s">
        <v>25</v>
      </c>
      <c r="Z154" s="108"/>
      <c r="AA154" s="15">
        <f>W153*Z153/1000</f>
        <v>0</v>
      </c>
    </row>
    <row r="155" spans="1:28" ht="15" customHeight="1" x14ac:dyDescent="0.25">
      <c r="AA155" s="47">
        <f>SUM(AA146:AA154)</f>
        <v>0</v>
      </c>
    </row>
    <row r="156" spans="1:28" x14ac:dyDescent="0.25">
      <c r="J156" s="291"/>
      <c r="K156" s="291"/>
      <c r="L156" s="291"/>
      <c r="M156" s="291"/>
      <c r="N156" s="291"/>
      <c r="O156" s="291"/>
      <c r="P156" s="291"/>
    </row>
    <row r="157" spans="1:28" x14ac:dyDescent="0.25">
      <c r="I157" s="148"/>
      <c r="J157" s="415"/>
      <c r="K157" s="130"/>
      <c r="L157" s="130"/>
      <c r="M157" s="130"/>
      <c r="N157" s="291"/>
      <c r="O157" s="129"/>
    </row>
    <row r="158" spans="1:28" x14ac:dyDescent="0.25">
      <c r="I158" s="129"/>
      <c r="J158" s="131"/>
      <c r="K158" s="131"/>
      <c r="L158" s="131"/>
      <c r="M158" s="131"/>
      <c r="N158" s="12"/>
      <c r="O158" s="132"/>
      <c r="P158" s="41"/>
      <c r="S158" s="85"/>
      <c r="T158" s="85"/>
      <c r="U158" s="85"/>
      <c r="V158" s="85"/>
      <c r="W158" s="85"/>
      <c r="X158" s="85"/>
      <c r="Y158" s="85"/>
      <c r="Z158" s="85"/>
      <c r="AB158" s="85"/>
    </row>
    <row r="159" spans="1:28" x14ac:dyDescent="0.25">
      <c r="A159" s="151"/>
      <c r="B159" s="152"/>
      <c r="C159" s="152"/>
      <c r="D159" s="152"/>
      <c r="E159" s="153"/>
      <c r="F159" s="12"/>
      <c r="G159" s="41"/>
      <c r="H159" s="41"/>
      <c r="I159" s="129"/>
      <c r="J159" s="131"/>
      <c r="K159" s="131"/>
      <c r="L159" s="131"/>
      <c r="M159" s="131"/>
      <c r="N159" s="12"/>
      <c r="O159" s="132"/>
      <c r="P159" s="41"/>
      <c r="S159" s="85"/>
      <c r="T159" s="85"/>
      <c r="U159" s="85"/>
      <c r="V159" s="85"/>
      <c r="W159" s="85"/>
      <c r="X159" s="85"/>
      <c r="Y159" s="85"/>
      <c r="Z159" s="85"/>
      <c r="AB159" s="85"/>
    </row>
    <row r="160" spans="1:28" x14ac:dyDescent="0.25">
      <c r="A160" s="577" t="s">
        <v>62</v>
      </c>
      <c r="B160" s="577"/>
      <c r="C160" s="577"/>
      <c r="D160" s="577"/>
      <c r="E160" s="577"/>
      <c r="F160" s="577"/>
      <c r="G160" s="577"/>
      <c r="H160" s="577"/>
      <c r="I160" s="577"/>
      <c r="J160" s="577"/>
      <c r="K160" s="577"/>
      <c r="L160" s="577"/>
      <c r="M160" s="577"/>
      <c r="N160" s="577"/>
      <c r="O160" s="577"/>
      <c r="P160" s="577"/>
      <c r="Q160" s="577"/>
      <c r="R160" s="577"/>
      <c r="S160" s="577"/>
      <c r="T160" s="577"/>
      <c r="U160" s="577"/>
      <c r="V160" s="577"/>
      <c r="W160" s="577"/>
      <c r="X160" s="577"/>
      <c r="Y160" s="577"/>
      <c r="Z160" s="577"/>
      <c r="AA160" s="577"/>
      <c r="AB160" s="85"/>
    </row>
    <row r="161" spans="1:28" ht="15.75" thickBot="1" x14ac:dyDescent="0.3">
      <c r="A161" s="100"/>
      <c r="B161" s="100"/>
      <c r="C161" s="100"/>
      <c r="D161" s="100"/>
      <c r="E161" s="100"/>
      <c r="F161" s="100"/>
      <c r="G161" s="100"/>
      <c r="H161" s="100"/>
      <c r="N161" s="287"/>
      <c r="O161" s="287"/>
      <c r="P161" s="287"/>
      <c r="Q161" s="287"/>
      <c r="R161" s="587"/>
      <c r="S161" s="49"/>
      <c r="T161" s="287"/>
      <c r="U161" s="287"/>
      <c r="V161" s="287"/>
      <c r="W161" s="287"/>
      <c r="X161" s="287"/>
      <c r="Y161" s="287"/>
      <c r="Z161" s="287"/>
      <c r="AA161" s="36"/>
      <c r="AB161" s="85"/>
    </row>
    <row r="162" spans="1:28" ht="15.75" thickBot="1" x14ac:dyDescent="0.3">
      <c r="A162" s="566" t="s">
        <v>218</v>
      </c>
      <c r="B162" s="567"/>
      <c r="C162" s="567"/>
      <c r="D162" s="567"/>
      <c r="E162" s="567"/>
      <c r="F162" s="567"/>
      <c r="G162" s="567"/>
      <c r="H162" s="568"/>
      <c r="I162" s="49"/>
      <c r="J162" s="566" t="s">
        <v>27</v>
      </c>
      <c r="K162" s="567"/>
      <c r="L162" s="567"/>
      <c r="M162" s="567"/>
      <c r="N162" s="567"/>
      <c r="O162" s="567"/>
      <c r="P162" s="567"/>
      <c r="Q162" s="568"/>
      <c r="R162" s="587"/>
      <c r="S162" s="287"/>
      <c r="T162" s="587"/>
      <c r="U162" s="587"/>
      <c r="V162" s="587"/>
      <c r="W162" s="587"/>
      <c r="X162" s="287"/>
      <c r="Y162" s="287"/>
      <c r="Z162" s="287"/>
      <c r="AA162" s="36"/>
      <c r="AB162" s="85"/>
    </row>
    <row r="163" spans="1:28" ht="25.5" x14ac:dyDescent="0.25">
      <c r="A163" s="101" t="s">
        <v>13</v>
      </c>
      <c r="B163" s="102" t="s">
        <v>45</v>
      </c>
      <c r="C163" s="103" t="s">
        <v>107</v>
      </c>
      <c r="D163" s="103" t="s">
        <v>108</v>
      </c>
      <c r="E163" s="569" t="s">
        <v>15</v>
      </c>
      <c r="F163" s="570"/>
      <c r="G163" s="101" t="s">
        <v>0</v>
      </c>
      <c r="H163" s="101" t="s">
        <v>1</v>
      </c>
      <c r="I163" s="287"/>
      <c r="J163" s="101" t="s">
        <v>13</v>
      </c>
      <c r="K163" s="102" t="s">
        <v>45</v>
      </c>
      <c r="L163" s="103" t="s">
        <v>107</v>
      </c>
      <c r="M163" s="103" t="s">
        <v>108</v>
      </c>
      <c r="N163" s="569" t="s">
        <v>15</v>
      </c>
      <c r="O163" s="570"/>
      <c r="P163" s="101" t="s">
        <v>0</v>
      </c>
      <c r="Q163" s="101" t="s">
        <v>1</v>
      </c>
      <c r="R163" s="131"/>
      <c r="S163" s="587"/>
      <c r="T163" s="287"/>
      <c r="U163" s="287"/>
      <c r="V163" s="287"/>
      <c r="W163" s="287"/>
      <c r="X163" s="287"/>
      <c r="Y163" s="287"/>
      <c r="Z163" s="287"/>
      <c r="AA163" s="36"/>
      <c r="AB163" s="85"/>
    </row>
    <row r="164" spans="1:28" x14ac:dyDescent="0.25">
      <c r="A164" s="90" t="s">
        <v>63</v>
      </c>
      <c r="B164" s="445">
        <v>25</v>
      </c>
      <c r="C164" s="92">
        <v>1</v>
      </c>
      <c r="D164" s="92">
        <f>B164*C164</f>
        <v>25</v>
      </c>
      <c r="E164" s="39">
        <f>D164*$C$26/1000</f>
        <v>2.5</v>
      </c>
      <c r="F164" s="14" t="s">
        <v>25</v>
      </c>
      <c r="G164" s="106"/>
      <c r="H164" s="15">
        <f>D164*G164/1000</f>
        <v>0</v>
      </c>
      <c r="I164" s="587"/>
      <c r="J164" s="90" t="s">
        <v>27</v>
      </c>
      <c r="K164" s="92">
        <v>60</v>
      </c>
      <c r="L164" s="92">
        <v>1.55</v>
      </c>
      <c r="M164" s="92">
        <f>K164*L164</f>
        <v>93</v>
      </c>
      <c r="N164" s="39">
        <f>M164*$C$26/1000</f>
        <v>9.3000000000000007</v>
      </c>
      <c r="O164" s="14" t="s">
        <v>25</v>
      </c>
      <c r="P164" s="106"/>
      <c r="Q164" s="15">
        <f>M164*P164/1000</f>
        <v>0</v>
      </c>
      <c r="R164" s="131"/>
      <c r="S164" s="587"/>
      <c r="T164" s="131"/>
      <c r="U164" s="131"/>
      <c r="V164" s="131"/>
      <c r="W164" s="131"/>
      <c r="X164" s="131"/>
      <c r="Y164" s="36"/>
      <c r="Z164" s="36"/>
      <c r="AA164" s="288"/>
      <c r="AB164" s="85"/>
    </row>
    <row r="165" spans="1:28" x14ac:dyDescent="0.25">
      <c r="A165" s="90" t="s">
        <v>106</v>
      </c>
      <c r="B165" s="445">
        <v>25</v>
      </c>
      <c r="C165" s="92">
        <v>1</v>
      </c>
      <c r="D165" s="92">
        <f t="shared" ref="D165:D173" si="31">B165*C165</f>
        <v>25</v>
      </c>
      <c r="E165" s="39">
        <f>D165*$C$26/1000</f>
        <v>2.5</v>
      </c>
      <c r="F165" s="14" t="s">
        <v>25</v>
      </c>
      <c r="G165" s="108"/>
      <c r="H165" s="15">
        <f>D165*G165/1000</f>
        <v>0</v>
      </c>
      <c r="I165" s="587"/>
      <c r="J165" s="131"/>
      <c r="K165" s="131"/>
      <c r="L165" s="131"/>
      <c r="M165" s="131"/>
      <c r="N165" s="131"/>
      <c r="O165" s="131"/>
      <c r="P165" s="36"/>
      <c r="Q165" s="500">
        <f>SUM(Q164)</f>
        <v>0</v>
      </c>
      <c r="R165" s="131"/>
      <c r="S165" s="287"/>
      <c r="T165" s="131"/>
      <c r="U165" s="131"/>
      <c r="V165" s="131"/>
      <c r="W165" s="131"/>
      <c r="X165" s="131"/>
      <c r="Y165" s="36"/>
      <c r="Z165" s="36"/>
      <c r="AA165" s="131"/>
      <c r="AB165" s="85"/>
    </row>
    <row r="166" spans="1:28" x14ac:dyDescent="0.25">
      <c r="A166" s="90" t="s">
        <v>3</v>
      </c>
      <c r="B166" s="445">
        <v>0.5</v>
      </c>
      <c r="C166" s="92">
        <v>1.18</v>
      </c>
      <c r="D166" s="416">
        <f t="shared" si="31"/>
        <v>0.59</v>
      </c>
      <c r="E166" s="93">
        <f>D166*$C$26/1000</f>
        <v>5.8999999999999997E-2</v>
      </c>
      <c r="F166" s="14" t="s">
        <v>25</v>
      </c>
      <c r="G166" s="108"/>
      <c r="H166" s="15">
        <f>D166*G166/1000</f>
        <v>0</v>
      </c>
      <c r="I166" s="131"/>
      <c r="J166" s="288"/>
      <c r="K166" s="288"/>
      <c r="L166" s="288"/>
      <c r="M166" s="131"/>
      <c r="N166" s="131"/>
      <c r="O166" s="131"/>
      <c r="P166" s="36"/>
      <c r="Q166" s="36"/>
      <c r="R166" s="288"/>
      <c r="S166" s="131"/>
      <c r="T166" s="131"/>
      <c r="U166" s="131"/>
      <c r="V166" s="131"/>
      <c r="W166" s="131"/>
      <c r="X166" s="131"/>
      <c r="Y166" s="36"/>
      <c r="Z166" s="36"/>
      <c r="AA166" s="51"/>
      <c r="AB166" s="85"/>
    </row>
    <row r="167" spans="1:28" x14ac:dyDescent="0.25">
      <c r="A167" s="90" t="s">
        <v>12</v>
      </c>
      <c r="B167" s="440">
        <v>0.4</v>
      </c>
      <c r="C167" s="113">
        <v>1.35</v>
      </c>
      <c r="D167" s="92">
        <f t="shared" si="31"/>
        <v>0.54</v>
      </c>
      <c r="E167" s="39">
        <f>D167*$C$26/30</f>
        <v>1.8</v>
      </c>
      <c r="F167" s="14" t="s">
        <v>109</v>
      </c>
      <c r="G167" s="108"/>
      <c r="H167" s="15">
        <f>D167*G167/30</f>
        <v>0</v>
      </c>
      <c r="I167" s="131"/>
      <c r="J167" s="131"/>
      <c r="K167" s="131"/>
      <c r="L167" s="131"/>
      <c r="M167" s="288"/>
      <c r="N167" s="288"/>
      <c r="O167" s="288"/>
      <c r="P167" s="288"/>
      <c r="Q167" s="288"/>
      <c r="R167" s="131"/>
      <c r="S167" s="131"/>
      <c r="T167" s="288"/>
      <c r="U167" s="288"/>
      <c r="V167" s="288"/>
      <c r="W167" s="288"/>
      <c r="X167" s="288"/>
      <c r="Y167" s="288"/>
      <c r="Z167" s="288"/>
      <c r="AA167" s="85"/>
      <c r="AB167" s="85"/>
    </row>
    <row r="168" spans="1:28" x14ac:dyDescent="0.25">
      <c r="A168" s="90" t="s">
        <v>47</v>
      </c>
      <c r="B168" s="440">
        <v>0.7</v>
      </c>
      <c r="C168" s="113">
        <v>1</v>
      </c>
      <c r="D168" s="92">
        <f t="shared" si="31"/>
        <v>0.7</v>
      </c>
      <c r="E168" s="39">
        <f>D168*$C$26/100</f>
        <v>0.7</v>
      </c>
      <c r="F168" s="14" t="s">
        <v>36</v>
      </c>
      <c r="G168" s="108"/>
      <c r="H168" s="15">
        <f>D168*G168/100</f>
        <v>0</v>
      </c>
      <c r="I168" s="131"/>
      <c r="J168" s="51"/>
      <c r="K168" s="51"/>
      <c r="L168" s="51"/>
      <c r="M168" s="131"/>
      <c r="N168" s="131"/>
      <c r="O168" s="131"/>
      <c r="P168" s="131"/>
      <c r="Q168" s="131"/>
      <c r="R168" s="51"/>
      <c r="S168" s="288"/>
      <c r="T168" s="131"/>
      <c r="U168" s="131"/>
      <c r="V168" s="131"/>
      <c r="W168" s="131"/>
      <c r="X168" s="131"/>
      <c r="Y168" s="131"/>
      <c r="Z168" s="131"/>
      <c r="AA168" s="85"/>
      <c r="AB168" s="85"/>
    </row>
    <row r="169" spans="1:28" x14ac:dyDescent="0.25">
      <c r="A169" s="90" t="s">
        <v>2</v>
      </c>
      <c r="B169" s="446">
        <v>4</v>
      </c>
      <c r="C169" s="92">
        <v>1.08</v>
      </c>
      <c r="D169" s="92">
        <f t="shared" si="31"/>
        <v>4.32</v>
      </c>
      <c r="E169" s="39">
        <f>D169*$C$26/1000</f>
        <v>0.432</v>
      </c>
      <c r="F169" s="14" t="s">
        <v>25</v>
      </c>
      <c r="G169" s="108"/>
      <c r="H169" s="15">
        <f>D169*G169/1000</f>
        <v>0</v>
      </c>
      <c r="I169" s="288"/>
      <c r="J169" s="85"/>
      <c r="K169" s="85"/>
      <c r="L169" s="85"/>
      <c r="M169" s="51"/>
      <c r="N169" s="51"/>
      <c r="O169" s="51"/>
      <c r="P169" s="51"/>
      <c r="Q169" s="51"/>
      <c r="R169" s="85"/>
      <c r="S169" s="131"/>
      <c r="T169" s="51"/>
      <c r="U169" s="51"/>
      <c r="V169" s="51"/>
      <c r="W169" s="51"/>
      <c r="X169" s="51"/>
      <c r="Y169" s="51"/>
      <c r="Z169" s="51"/>
      <c r="AA169" s="85"/>
    </row>
    <row r="170" spans="1:28" x14ac:dyDescent="0.25">
      <c r="A170" s="90" t="s">
        <v>127</v>
      </c>
      <c r="B170" s="440">
        <v>2</v>
      </c>
      <c r="C170" s="113">
        <v>1</v>
      </c>
      <c r="D170" s="92">
        <f t="shared" si="31"/>
        <v>2</v>
      </c>
      <c r="E170" s="39">
        <f>D170*$C$26/900</f>
        <v>0.22222222222222221</v>
      </c>
      <c r="F170" s="14" t="s">
        <v>40</v>
      </c>
      <c r="G170" s="108"/>
      <c r="H170" s="15">
        <f>D170*G170/900</f>
        <v>0</v>
      </c>
      <c r="I170" s="131"/>
      <c r="M170" s="85"/>
      <c r="N170" s="85"/>
      <c r="O170" s="85"/>
      <c r="P170" s="85"/>
      <c r="Q170" s="85"/>
      <c r="R170" s="85"/>
      <c r="S170" s="51"/>
      <c r="T170" s="85"/>
      <c r="U170" s="85"/>
      <c r="V170" s="85"/>
      <c r="W170" s="85"/>
      <c r="X170" s="85"/>
      <c r="Y170" s="85"/>
      <c r="Z170" s="85"/>
    </row>
    <row r="171" spans="1:28" x14ac:dyDescent="0.25">
      <c r="A171" s="90" t="s">
        <v>10</v>
      </c>
      <c r="B171" s="446">
        <v>8</v>
      </c>
      <c r="C171" s="92">
        <v>1.18</v>
      </c>
      <c r="D171" s="111">
        <f t="shared" si="31"/>
        <v>9.44</v>
      </c>
      <c r="E171" s="39">
        <f>D171*$C$26/1000</f>
        <v>0.94399999999999995</v>
      </c>
      <c r="F171" s="14" t="s">
        <v>25</v>
      </c>
      <c r="G171" s="108"/>
      <c r="H171" s="15">
        <f>D171*G171/1000</f>
        <v>0</v>
      </c>
      <c r="I171" s="430"/>
      <c r="J171" s="85"/>
      <c r="K171" s="85"/>
      <c r="L171" s="85"/>
      <c r="M171" s="51"/>
      <c r="N171" s="51"/>
      <c r="O171" s="51"/>
      <c r="P171" s="51"/>
      <c r="Q171" s="51"/>
      <c r="R171" s="85"/>
      <c r="S171" s="131"/>
      <c r="T171" s="51"/>
      <c r="U171" s="51"/>
      <c r="V171" s="51"/>
      <c r="W171" s="51"/>
      <c r="X171" s="51"/>
      <c r="Y171" s="51"/>
      <c r="Z171" s="51"/>
      <c r="AA171" s="85"/>
    </row>
    <row r="172" spans="1:28" s="124" customFormat="1" ht="15" customHeight="1" thickBot="1" x14ac:dyDescent="0.3">
      <c r="A172" s="90" t="s">
        <v>33</v>
      </c>
      <c r="B172" s="445">
        <v>2</v>
      </c>
      <c r="C172" s="92">
        <v>1</v>
      </c>
      <c r="D172" s="92">
        <f t="shared" si="31"/>
        <v>2</v>
      </c>
      <c r="E172" s="39">
        <f>D172*$C$26/520</f>
        <v>0.38461538461538464</v>
      </c>
      <c r="F172" s="14" t="s">
        <v>121</v>
      </c>
      <c r="G172" s="108"/>
      <c r="H172" s="15">
        <f>D172*G172/520</f>
        <v>0</v>
      </c>
      <c r="I172" s="51"/>
      <c r="J172" s="79"/>
      <c r="K172" s="79"/>
      <c r="L172" s="79"/>
      <c r="M172" s="79"/>
      <c r="N172" s="79"/>
      <c r="O172" s="79"/>
      <c r="P172" s="79"/>
      <c r="Q172" s="79"/>
      <c r="R172" s="85"/>
      <c r="S172" s="85"/>
      <c r="T172" s="79"/>
      <c r="U172" s="79"/>
      <c r="V172" s="79"/>
      <c r="W172" s="79"/>
      <c r="X172" s="79"/>
      <c r="Y172" s="79"/>
      <c r="Z172" s="79"/>
      <c r="AA172" s="79"/>
    </row>
    <row r="173" spans="1:28" s="124" customFormat="1" ht="26.25" thickBot="1" x14ac:dyDescent="0.3">
      <c r="A173" s="90" t="s">
        <v>5</v>
      </c>
      <c r="B173" s="440">
        <v>1</v>
      </c>
      <c r="C173" s="113">
        <v>1</v>
      </c>
      <c r="D173" s="92">
        <f t="shared" si="31"/>
        <v>1</v>
      </c>
      <c r="E173" s="39">
        <f>D173*$C$26/1000</f>
        <v>0.1</v>
      </c>
      <c r="F173" s="14" t="s">
        <v>25</v>
      </c>
      <c r="G173" s="108"/>
      <c r="H173" s="15">
        <f>D173*G173/1000</f>
        <v>0</v>
      </c>
      <c r="I173" s="85"/>
      <c r="J173" s="79"/>
      <c r="K173" s="79"/>
      <c r="L173" s="79"/>
      <c r="M173" s="79"/>
      <c r="N173" s="79"/>
      <c r="O173" s="79"/>
      <c r="P173" s="572" t="s">
        <v>95</v>
      </c>
      <c r="Q173" s="573"/>
      <c r="R173" s="589">
        <f>SUM(H140,H153,Q104,Q151,AA155,H174,Q165)</f>
        <v>0</v>
      </c>
      <c r="S173" s="590"/>
      <c r="T173" s="79"/>
      <c r="U173" s="79"/>
      <c r="V173" s="79"/>
      <c r="W173" s="79"/>
      <c r="X173" s="79"/>
      <c r="Y173" s="79"/>
      <c r="Z173" s="79"/>
      <c r="AA173" s="164"/>
    </row>
    <row r="174" spans="1:28" s="124" customFormat="1" ht="19.5" customHeight="1" x14ac:dyDescent="0.25">
      <c r="A174" s="79"/>
      <c r="B174" s="79"/>
      <c r="C174" s="79"/>
      <c r="D174" s="79"/>
      <c r="E174" s="79"/>
      <c r="F174" s="79"/>
      <c r="G174" s="79"/>
      <c r="H174" s="47">
        <f>SUM(H164:H173)</f>
        <v>0</v>
      </c>
      <c r="I174" s="85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164"/>
    </row>
    <row r="175" spans="1:28" s="124" customFormat="1" ht="18" customHeight="1" x14ac:dyDescent="0.25">
      <c r="I175" s="164"/>
      <c r="R175" s="164"/>
      <c r="S175" s="79"/>
      <c r="AA175" s="100"/>
    </row>
    <row r="176" spans="1:28" s="85" customFormat="1" ht="30" customHeight="1" x14ac:dyDescent="0.25">
      <c r="A176" s="576" t="s">
        <v>21</v>
      </c>
      <c r="B176" s="576"/>
      <c r="C176" s="576"/>
      <c r="D176" s="576"/>
      <c r="E176" s="576"/>
      <c r="F176" s="576"/>
      <c r="G176" s="576"/>
      <c r="H176" s="576"/>
      <c r="I176" s="576"/>
      <c r="J176" s="576"/>
      <c r="K176" s="576"/>
      <c r="L176" s="576"/>
      <c r="M176" s="576"/>
      <c r="N176" s="576"/>
      <c r="O176" s="576"/>
      <c r="P176" s="576"/>
      <c r="Q176" s="576"/>
      <c r="R176" s="576"/>
      <c r="S176" s="576"/>
      <c r="T176" s="576"/>
      <c r="U176" s="576"/>
      <c r="V176" s="576"/>
      <c r="W176" s="576"/>
      <c r="X176" s="576"/>
      <c r="Y176" s="576"/>
      <c r="Z176" s="576"/>
      <c r="AA176" s="576"/>
    </row>
    <row r="177" spans="1:27" s="85" customFormat="1" x14ac:dyDescent="0.25">
      <c r="A177" s="124"/>
      <c r="B177" s="124"/>
      <c r="C177" s="124"/>
      <c r="D177" s="124"/>
      <c r="E177" s="124"/>
      <c r="F177" s="124"/>
      <c r="G177" s="124"/>
      <c r="H177" s="124"/>
      <c r="M177" s="79"/>
      <c r="N177" s="79"/>
      <c r="O177" s="79"/>
      <c r="P177" s="79"/>
      <c r="Q177" s="79"/>
      <c r="T177" s="79"/>
      <c r="U177" s="79"/>
      <c r="V177" s="79"/>
      <c r="W177" s="79"/>
      <c r="X177" s="79"/>
      <c r="Y177" s="79"/>
      <c r="Z177" s="79"/>
    </row>
    <row r="178" spans="1:27" s="85" customFormat="1" x14ac:dyDescent="0.25">
      <c r="A178" s="577" t="s">
        <v>59</v>
      </c>
      <c r="B178" s="577"/>
      <c r="C178" s="577"/>
      <c r="D178" s="577"/>
      <c r="E178" s="577"/>
      <c r="F178" s="577"/>
      <c r="G178" s="577"/>
      <c r="H178" s="577"/>
      <c r="I178" s="577"/>
      <c r="J178" s="577"/>
      <c r="K178" s="577"/>
      <c r="L178" s="577"/>
      <c r="M178" s="577"/>
      <c r="N178" s="577"/>
      <c r="O178" s="577"/>
      <c r="P178" s="577"/>
      <c r="Q178" s="577"/>
      <c r="R178" s="577"/>
      <c r="S178" s="577"/>
      <c r="T178" s="577"/>
      <c r="U178" s="577"/>
      <c r="V178" s="577"/>
      <c r="W178" s="577"/>
      <c r="X178" s="577"/>
      <c r="Y178" s="577"/>
      <c r="Z178" s="577"/>
      <c r="AA178" s="577"/>
    </row>
    <row r="179" spans="1:27" s="85" customFormat="1" ht="15.75" thickBot="1" x14ac:dyDescent="0.3">
      <c r="A179" s="100"/>
      <c r="B179" s="100"/>
      <c r="C179" s="100"/>
      <c r="D179" s="100"/>
      <c r="E179" s="100"/>
      <c r="F179" s="100"/>
      <c r="G179" s="100"/>
      <c r="H179" s="100"/>
      <c r="J179" s="291"/>
      <c r="K179" s="291"/>
      <c r="L179" s="291"/>
    </row>
    <row r="180" spans="1:27" s="85" customFormat="1" ht="15.75" thickBot="1" x14ac:dyDescent="0.3">
      <c r="A180" s="566" t="s">
        <v>110</v>
      </c>
      <c r="B180" s="567"/>
      <c r="C180" s="567"/>
      <c r="D180" s="567"/>
      <c r="E180" s="567"/>
      <c r="F180" s="567"/>
      <c r="G180" s="567"/>
      <c r="H180" s="568"/>
      <c r="J180" s="566" t="s">
        <v>198</v>
      </c>
      <c r="K180" s="567"/>
      <c r="L180" s="567"/>
      <c r="M180" s="567"/>
      <c r="N180" s="567"/>
      <c r="O180" s="567"/>
      <c r="P180" s="567"/>
      <c r="Q180" s="568"/>
    </row>
    <row r="181" spans="1:27" s="85" customFormat="1" ht="25.5" x14ac:dyDescent="0.25">
      <c r="A181" s="101" t="s">
        <v>13</v>
      </c>
      <c r="B181" s="102" t="s">
        <v>45</v>
      </c>
      <c r="C181" s="103" t="s">
        <v>107</v>
      </c>
      <c r="D181" s="103" t="s">
        <v>108</v>
      </c>
      <c r="E181" s="569" t="s">
        <v>15</v>
      </c>
      <c r="F181" s="570"/>
      <c r="G181" s="101" t="s">
        <v>0</v>
      </c>
      <c r="H181" s="101" t="s">
        <v>1</v>
      </c>
      <c r="J181" s="101" t="s">
        <v>13</v>
      </c>
      <c r="K181" s="102" t="s">
        <v>45</v>
      </c>
      <c r="L181" s="103" t="s">
        <v>107</v>
      </c>
      <c r="M181" s="103" t="s">
        <v>108</v>
      </c>
      <c r="N181" s="569" t="s">
        <v>15</v>
      </c>
      <c r="O181" s="570"/>
      <c r="P181" s="101" t="s">
        <v>0</v>
      </c>
      <c r="Q181" s="101" t="s">
        <v>1</v>
      </c>
      <c r="AA181" s="79"/>
    </row>
    <row r="182" spans="1:27" s="124" customFormat="1" x14ac:dyDescent="0.25">
      <c r="A182" s="90" t="s">
        <v>48</v>
      </c>
      <c r="B182" s="92">
        <v>150</v>
      </c>
      <c r="C182" s="92">
        <v>1</v>
      </c>
      <c r="D182" s="92">
        <f>B182*C182</f>
        <v>150</v>
      </c>
      <c r="E182" s="4">
        <f>D182*$C$26/1000</f>
        <v>15</v>
      </c>
      <c r="F182" s="14" t="s">
        <v>37</v>
      </c>
      <c r="G182" s="106"/>
      <c r="H182" s="95">
        <f>D182*G182/1000</f>
        <v>0</v>
      </c>
      <c r="I182" s="85"/>
      <c r="J182" s="428" t="s">
        <v>213</v>
      </c>
      <c r="K182" s="91">
        <v>15</v>
      </c>
      <c r="L182" s="91">
        <v>1</v>
      </c>
      <c r="M182" s="92">
        <f>K182*L182</f>
        <v>15</v>
      </c>
      <c r="N182" s="4">
        <f>M182*$C$26/400</f>
        <v>3.75</v>
      </c>
      <c r="O182" s="14" t="s">
        <v>152</v>
      </c>
      <c r="P182" s="106"/>
      <c r="Q182" s="95">
        <f>M182*P182/400</f>
        <v>0</v>
      </c>
      <c r="R182" s="85"/>
      <c r="S182" s="85"/>
      <c r="T182" s="85"/>
      <c r="U182" s="85"/>
      <c r="V182" s="85"/>
      <c r="W182" s="85"/>
      <c r="X182" s="85"/>
      <c r="Y182" s="85"/>
      <c r="Z182" s="85"/>
      <c r="AA182" s="100"/>
    </row>
    <row r="183" spans="1:27" s="124" customFormat="1" x14ac:dyDescent="0.25">
      <c r="A183" s="126"/>
      <c r="B183" s="118"/>
      <c r="C183" s="118"/>
      <c r="D183" s="118"/>
      <c r="E183" s="154"/>
      <c r="F183" s="118"/>
      <c r="G183" s="132"/>
      <c r="H183" s="47">
        <f>SUM(H182)</f>
        <v>0</v>
      </c>
      <c r="I183" s="85"/>
      <c r="J183" s="126"/>
      <c r="K183" s="118"/>
      <c r="L183" s="118"/>
      <c r="M183" s="118"/>
      <c r="N183" s="154"/>
      <c r="O183" s="118"/>
      <c r="P183" s="132"/>
      <c r="Q183" s="47">
        <f>SUM(Q182)</f>
        <v>0</v>
      </c>
      <c r="R183" s="79"/>
      <c r="S183" s="85"/>
      <c r="T183" s="85"/>
      <c r="U183" s="85"/>
      <c r="V183" s="85"/>
      <c r="W183" s="85"/>
      <c r="X183" s="85"/>
      <c r="Y183" s="85"/>
      <c r="Z183" s="85"/>
      <c r="AA183" s="100"/>
    </row>
    <row r="184" spans="1:27" s="124" customFormat="1" x14ac:dyDescent="0.25">
      <c r="A184" s="126"/>
      <c r="B184" s="115"/>
      <c r="C184" s="115"/>
      <c r="D184" s="115"/>
      <c r="E184" s="127"/>
      <c r="F184" s="115"/>
      <c r="G184" s="128"/>
      <c r="H184" s="42"/>
      <c r="I184" s="85"/>
      <c r="J184" s="291"/>
      <c r="K184" s="291"/>
      <c r="L184" s="291"/>
      <c r="M184" s="291"/>
      <c r="N184" s="133"/>
      <c r="O184" s="12"/>
      <c r="P184" s="338"/>
      <c r="Q184" s="40"/>
    </row>
    <row r="186" spans="1:27" x14ac:dyDescent="0.25">
      <c r="A186" s="577" t="s">
        <v>60</v>
      </c>
      <c r="B186" s="577"/>
      <c r="C186" s="577"/>
      <c r="D186" s="577"/>
      <c r="E186" s="577"/>
      <c r="F186" s="577"/>
      <c r="G186" s="577"/>
      <c r="H186" s="577"/>
      <c r="I186" s="577"/>
      <c r="J186" s="577"/>
      <c r="K186" s="577"/>
      <c r="L186" s="577"/>
      <c r="M186" s="577"/>
      <c r="N186" s="577"/>
      <c r="O186" s="577"/>
      <c r="P186" s="577"/>
      <c r="Q186" s="577"/>
      <c r="R186" s="577"/>
      <c r="S186" s="577"/>
      <c r="T186" s="577"/>
      <c r="U186" s="577"/>
      <c r="V186" s="577"/>
      <c r="W186" s="577"/>
      <c r="X186" s="577"/>
      <c r="Y186" s="577"/>
      <c r="Z186" s="577"/>
      <c r="AA186" s="577"/>
    </row>
    <row r="187" spans="1:27" ht="15.75" thickBot="1" x14ac:dyDescent="0.3">
      <c r="A187" s="100"/>
      <c r="B187" s="100"/>
      <c r="C187" s="100"/>
      <c r="D187" s="100"/>
      <c r="E187" s="100"/>
      <c r="F187" s="100"/>
      <c r="G187" s="100"/>
      <c r="H187" s="100"/>
      <c r="J187" s="100"/>
      <c r="K187" s="100"/>
      <c r="L187" s="100"/>
      <c r="R187" s="100"/>
      <c r="S187" s="124"/>
    </row>
    <row r="188" spans="1:27" ht="15.75" thickBot="1" x14ac:dyDescent="0.3">
      <c r="A188" s="566" t="s">
        <v>70</v>
      </c>
      <c r="B188" s="567"/>
      <c r="C188" s="567"/>
      <c r="D188" s="567"/>
      <c r="E188" s="567"/>
      <c r="F188" s="567"/>
      <c r="G188" s="567"/>
      <c r="H188" s="568"/>
      <c r="J188" s="566" t="s">
        <v>61</v>
      </c>
      <c r="K188" s="567"/>
      <c r="L188" s="567"/>
      <c r="M188" s="567"/>
      <c r="N188" s="567"/>
      <c r="O188" s="567"/>
      <c r="P188" s="567"/>
      <c r="Q188" s="568"/>
      <c r="R188" s="124"/>
      <c r="S188" s="100"/>
      <c r="T188" s="100"/>
      <c r="U188" s="100"/>
      <c r="V188" s="100"/>
      <c r="W188" s="100"/>
      <c r="X188" s="100"/>
      <c r="Y188" s="100"/>
      <c r="Z188" s="100"/>
    </row>
    <row r="189" spans="1:27" ht="25.5" x14ac:dyDescent="0.25">
      <c r="A189" s="102" t="s">
        <v>13</v>
      </c>
      <c r="B189" s="102" t="s">
        <v>14</v>
      </c>
      <c r="C189" s="103" t="s">
        <v>107</v>
      </c>
      <c r="D189" s="103" t="s">
        <v>108</v>
      </c>
      <c r="E189" s="569" t="s">
        <v>15</v>
      </c>
      <c r="F189" s="570"/>
      <c r="G189" s="101" t="s">
        <v>0</v>
      </c>
      <c r="H189" s="101" t="s">
        <v>1</v>
      </c>
      <c r="J189" s="101" t="s">
        <v>13</v>
      </c>
      <c r="K189" s="102" t="s">
        <v>45</v>
      </c>
      <c r="L189" s="102" t="s">
        <v>107</v>
      </c>
      <c r="M189" s="103" t="s">
        <v>108</v>
      </c>
      <c r="N189" s="579" t="s">
        <v>15</v>
      </c>
      <c r="O189" s="580"/>
      <c r="P189" s="101" t="s">
        <v>0</v>
      </c>
      <c r="Q189" s="101" t="s">
        <v>1</v>
      </c>
      <c r="R189" s="124"/>
      <c r="S189" s="100"/>
      <c r="T189" s="100"/>
      <c r="U189" s="100"/>
      <c r="V189" s="100"/>
      <c r="W189" s="100"/>
      <c r="X189" s="100"/>
      <c r="Y189" s="100"/>
      <c r="Z189" s="100"/>
    </row>
    <row r="190" spans="1:27" x14ac:dyDescent="0.25">
      <c r="A190" s="8" t="s">
        <v>66</v>
      </c>
      <c r="B190" s="96">
        <v>25</v>
      </c>
      <c r="C190" s="113">
        <v>1.21</v>
      </c>
      <c r="D190" s="105">
        <f>B190*C190</f>
        <v>30.25</v>
      </c>
      <c r="E190" s="39">
        <f>D190*$C$26/1000</f>
        <v>3.0249999999999999</v>
      </c>
      <c r="F190" s="57" t="s">
        <v>16</v>
      </c>
      <c r="G190" s="106"/>
      <c r="H190" s="15">
        <f>D190*G190/1000</f>
        <v>0</v>
      </c>
      <c r="J190" s="90" t="s">
        <v>49</v>
      </c>
      <c r="K190" s="91">
        <v>20</v>
      </c>
      <c r="L190" s="414">
        <v>1</v>
      </c>
      <c r="M190" s="141">
        <f>K190*L190</f>
        <v>20</v>
      </c>
      <c r="N190" s="497">
        <f>M190*$C$26/1000</f>
        <v>2</v>
      </c>
      <c r="O190" s="14" t="s">
        <v>25</v>
      </c>
      <c r="P190" s="106"/>
      <c r="Q190" s="15">
        <f>M190*P190/1000</f>
        <v>0</v>
      </c>
      <c r="R190" s="124"/>
      <c r="S190" s="100"/>
      <c r="T190" s="100"/>
      <c r="U190" s="100"/>
      <c r="V190" s="100"/>
      <c r="W190" s="100"/>
      <c r="X190" s="100"/>
      <c r="Y190" s="100"/>
      <c r="Z190" s="100"/>
    </row>
    <row r="191" spans="1:27" x14ac:dyDescent="0.25">
      <c r="A191" s="8" t="s">
        <v>2</v>
      </c>
      <c r="B191" s="442">
        <v>4</v>
      </c>
      <c r="C191" s="113">
        <v>1.08</v>
      </c>
      <c r="D191" s="112">
        <f>B191*C191</f>
        <v>4.32</v>
      </c>
      <c r="E191" s="39">
        <f>D191*$C$26/1000</f>
        <v>0.432</v>
      </c>
      <c r="F191" s="57" t="s">
        <v>16</v>
      </c>
      <c r="G191" s="106"/>
      <c r="H191" s="15">
        <f t="shared" ref="H191:H200" si="32">D191*G191/1000</f>
        <v>0</v>
      </c>
      <c r="J191" s="90" t="s">
        <v>5</v>
      </c>
      <c r="K191" s="96">
        <v>0.5</v>
      </c>
      <c r="L191" s="414">
        <v>1</v>
      </c>
      <c r="M191" s="145">
        <f t="shared" ref="M191:M194" si="33">K191*L191</f>
        <v>0.5</v>
      </c>
      <c r="N191" s="497">
        <f>M191*$C$26/1000</f>
        <v>0.05</v>
      </c>
      <c r="O191" s="14" t="s">
        <v>25</v>
      </c>
      <c r="P191" s="106"/>
      <c r="Q191" s="15">
        <f t="shared" ref="Q191:Q193" si="34">M191*P191/1000</f>
        <v>0</v>
      </c>
      <c r="R191" s="124"/>
      <c r="S191" s="100"/>
      <c r="T191" s="100"/>
      <c r="U191" s="100"/>
      <c r="V191" s="100"/>
      <c r="W191" s="100"/>
      <c r="X191" s="100"/>
      <c r="Y191" s="100"/>
      <c r="Z191" s="100"/>
    </row>
    <row r="192" spans="1:27" x14ac:dyDescent="0.25">
      <c r="A192" s="90" t="s">
        <v>9</v>
      </c>
      <c r="B192" s="91">
        <v>1</v>
      </c>
      <c r="C192" s="92">
        <v>1.43</v>
      </c>
      <c r="D192" s="105">
        <f t="shared" ref="D192:D200" si="35">B192*C192</f>
        <v>1.43</v>
      </c>
      <c r="E192" s="39">
        <f>D192*$C$26/1000</f>
        <v>0.14299999999999999</v>
      </c>
      <c r="F192" s="14" t="s">
        <v>25</v>
      </c>
      <c r="G192" s="106"/>
      <c r="H192" s="15">
        <f t="shared" si="32"/>
        <v>0</v>
      </c>
      <c r="J192" s="90" t="s">
        <v>3</v>
      </c>
      <c r="K192" s="91">
        <v>0.5</v>
      </c>
      <c r="L192" s="414">
        <v>1.18</v>
      </c>
      <c r="M192" s="145">
        <f t="shared" si="33"/>
        <v>0.59</v>
      </c>
      <c r="N192" s="497">
        <f>M192*$C$26/1000</f>
        <v>5.8999999999999997E-2</v>
      </c>
      <c r="O192" s="14" t="s">
        <v>25</v>
      </c>
      <c r="P192" s="106"/>
      <c r="Q192" s="15">
        <f t="shared" si="34"/>
        <v>0</v>
      </c>
      <c r="R192" s="124"/>
      <c r="S192" s="100"/>
      <c r="T192" s="100"/>
      <c r="U192" s="100"/>
      <c r="V192" s="100"/>
      <c r="W192" s="100"/>
      <c r="X192" s="100"/>
      <c r="Y192" s="100"/>
      <c r="Z192" s="100"/>
    </row>
    <row r="193" spans="1:26" x14ac:dyDescent="0.25">
      <c r="A193" s="104" t="s">
        <v>12</v>
      </c>
      <c r="B193" s="96">
        <v>0.4</v>
      </c>
      <c r="C193" s="113">
        <v>1.35</v>
      </c>
      <c r="D193" s="112">
        <f t="shared" si="35"/>
        <v>0.54</v>
      </c>
      <c r="E193" s="39">
        <f>D193*$C$26/30</f>
        <v>1.8</v>
      </c>
      <c r="F193" s="91" t="s">
        <v>109</v>
      </c>
      <c r="G193" s="106"/>
      <c r="H193" s="15">
        <f>D193*G193/30</f>
        <v>0</v>
      </c>
      <c r="J193" s="90" t="s">
        <v>2</v>
      </c>
      <c r="K193" s="446">
        <v>4</v>
      </c>
      <c r="L193" s="414">
        <v>1.08</v>
      </c>
      <c r="M193" s="145">
        <f t="shared" si="33"/>
        <v>4.32</v>
      </c>
      <c r="N193" s="497">
        <f>M193*$C$26/1000</f>
        <v>0.432</v>
      </c>
      <c r="O193" s="14" t="s">
        <v>25</v>
      </c>
      <c r="P193" s="106"/>
      <c r="Q193" s="15">
        <f t="shared" si="34"/>
        <v>0</v>
      </c>
      <c r="R193" s="124"/>
      <c r="S193" s="100"/>
      <c r="T193" s="100"/>
      <c r="U193" s="100"/>
      <c r="V193" s="100"/>
      <c r="W193" s="100"/>
      <c r="X193" s="100"/>
      <c r="Y193" s="100"/>
      <c r="Z193" s="100"/>
    </row>
    <row r="194" spans="1:26" x14ac:dyDescent="0.25">
      <c r="A194" s="8" t="s">
        <v>3</v>
      </c>
      <c r="B194" s="91">
        <v>0.5</v>
      </c>
      <c r="C194" s="92">
        <v>1.18</v>
      </c>
      <c r="D194" s="112">
        <f t="shared" si="35"/>
        <v>0.59</v>
      </c>
      <c r="E194" s="39">
        <f>D194*$C$26/1000</f>
        <v>5.8999999999999997E-2</v>
      </c>
      <c r="F194" s="155" t="s">
        <v>16</v>
      </c>
      <c r="G194" s="106"/>
      <c r="H194" s="15">
        <f t="shared" si="32"/>
        <v>0</v>
      </c>
      <c r="J194" s="90" t="s">
        <v>127</v>
      </c>
      <c r="K194" s="96">
        <v>2</v>
      </c>
      <c r="L194" s="414">
        <v>1</v>
      </c>
      <c r="M194" s="145">
        <f t="shared" si="33"/>
        <v>2</v>
      </c>
      <c r="N194" s="494">
        <f>M194*$C$26/900</f>
        <v>0.22222222222222221</v>
      </c>
      <c r="O194" s="14" t="s">
        <v>40</v>
      </c>
      <c r="P194" s="106"/>
      <c r="Q194" s="15">
        <f>M194*P194/900</f>
        <v>0</v>
      </c>
      <c r="R194" s="156"/>
      <c r="S194" s="100"/>
      <c r="T194" s="291"/>
      <c r="U194" s="291"/>
      <c r="V194" s="291"/>
      <c r="W194" s="291"/>
      <c r="X194" s="291"/>
      <c r="Y194" s="291"/>
    </row>
    <row r="195" spans="1:26" x14ac:dyDescent="0.25">
      <c r="A195" s="8" t="s">
        <v>4</v>
      </c>
      <c r="B195" s="96">
        <v>2</v>
      </c>
      <c r="C195" s="113">
        <v>1</v>
      </c>
      <c r="D195" s="113">
        <f t="shared" si="35"/>
        <v>2</v>
      </c>
      <c r="E195" s="39">
        <f>D195*$C$26/900</f>
        <v>0.22222222222222221</v>
      </c>
      <c r="F195" s="155" t="s">
        <v>131</v>
      </c>
      <c r="G195" s="106"/>
      <c r="H195" s="15">
        <f>D195*G195/900</f>
        <v>0</v>
      </c>
      <c r="M195" s="89"/>
      <c r="Q195" s="47">
        <f>SUM(Q190:Q194)</f>
        <v>0</v>
      </c>
      <c r="R195" s="291"/>
      <c r="S195" s="291"/>
      <c r="T195" s="291"/>
      <c r="U195" s="291"/>
      <c r="V195" s="291"/>
      <c r="W195" s="291"/>
      <c r="X195" s="129"/>
      <c r="Y195" s="129"/>
    </row>
    <row r="196" spans="1:26" ht="15.75" thickBot="1" x14ac:dyDescent="0.3">
      <c r="A196" s="8" t="s">
        <v>5</v>
      </c>
      <c r="B196" s="96">
        <v>0.5</v>
      </c>
      <c r="C196" s="113">
        <v>1</v>
      </c>
      <c r="D196" s="113">
        <f t="shared" si="35"/>
        <v>0.5</v>
      </c>
      <c r="E196" s="39">
        <f>D196*$C$26/1000</f>
        <v>0.05</v>
      </c>
      <c r="F196" s="57" t="s">
        <v>16</v>
      </c>
      <c r="G196" s="106"/>
      <c r="H196" s="15">
        <f t="shared" si="32"/>
        <v>0</v>
      </c>
      <c r="M196" s="89"/>
      <c r="N196" s="89"/>
      <c r="O196" s="157"/>
      <c r="P196" s="157"/>
      <c r="Q196" s="120"/>
      <c r="R196" s="129"/>
      <c r="S196" s="130"/>
      <c r="T196" s="133"/>
      <c r="U196" s="133"/>
      <c r="V196" s="133"/>
      <c r="W196" s="12"/>
      <c r="X196" s="132"/>
      <c r="Y196" s="41"/>
    </row>
    <row r="197" spans="1:26" ht="15.75" thickBot="1" x14ac:dyDescent="0.3">
      <c r="A197" s="8" t="s">
        <v>6</v>
      </c>
      <c r="B197" s="96">
        <v>0.7</v>
      </c>
      <c r="C197" s="113">
        <v>1</v>
      </c>
      <c r="D197" s="112">
        <f t="shared" si="35"/>
        <v>0.7</v>
      </c>
      <c r="E197" s="39">
        <f>D197*$C$26/100</f>
        <v>0.7</v>
      </c>
      <c r="F197" s="57" t="s">
        <v>132</v>
      </c>
      <c r="G197" s="106"/>
      <c r="H197" s="15">
        <f>D197*G197/100</f>
        <v>0</v>
      </c>
      <c r="J197" s="566" t="s">
        <v>147</v>
      </c>
      <c r="K197" s="567"/>
      <c r="L197" s="567"/>
      <c r="M197" s="567"/>
      <c r="N197" s="567"/>
      <c r="O197" s="567"/>
      <c r="P197" s="567"/>
      <c r="Q197" s="568"/>
      <c r="R197" s="38"/>
      <c r="S197" s="12"/>
      <c r="T197" s="133"/>
      <c r="U197" s="133"/>
      <c r="V197" s="133"/>
      <c r="W197" s="12"/>
      <c r="X197" s="132"/>
      <c r="Y197" s="41"/>
    </row>
    <row r="198" spans="1:26" ht="25.5" x14ac:dyDescent="0.25">
      <c r="A198" s="8" t="s">
        <v>10</v>
      </c>
      <c r="B198" s="443">
        <v>8</v>
      </c>
      <c r="C198" s="113">
        <v>1.18</v>
      </c>
      <c r="D198" s="112">
        <f t="shared" si="35"/>
        <v>9.44</v>
      </c>
      <c r="E198" s="39">
        <f>D198*$C$26/1000</f>
        <v>0.94399999999999995</v>
      </c>
      <c r="F198" s="14" t="s">
        <v>25</v>
      </c>
      <c r="G198" s="108"/>
      <c r="H198" s="15">
        <f t="shared" si="32"/>
        <v>0</v>
      </c>
      <c r="J198" s="101" t="s">
        <v>13</v>
      </c>
      <c r="K198" s="102" t="s">
        <v>45</v>
      </c>
      <c r="L198" s="102" t="s">
        <v>107</v>
      </c>
      <c r="M198" s="102" t="s">
        <v>108</v>
      </c>
      <c r="N198" s="579" t="s">
        <v>15</v>
      </c>
      <c r="O198" s="580"/>
      <c r="P198" s="101" t="s">
        <v>0</v>
      </c>
      <c r="Q198" s="101" t="s">
        <v>1</v>
      </c>
      <c r="R198" s="158"/>
      <c r="S198" s="12"/>
      <c r="T198" s="133"/>
      <c r="U198" s="133"/>
      <c r="V198" s="133"/>
      <c r="W198" s="12"/>
      <c r="X198" s="132"/>
      <c r="Y198" s="41"/>
    </row>
    <row r="199" spans="1:26" x14ac:dyDescent="0.25">
      <c r="A199" s="8" t="s">
        <v>52</v>
      </c>
      <c r="B199" s="96">
        <v>20</v>
      </c>
      <c r="C199" s="113">
        <v>1.1599999999999999</v>
      </c>
      <c r="D199" s="105">
        <f t="shared" si="35"/>
        <v>23.2</v>
      </c>
      <c r="E199" s="39">
        <f>D199*$C$26/1000</f>
        <v>2.3199999999999998</v>
      </c>
      <c r="F199" s="57" t="s">
        <v>16</v>
      </c>
      <c r="G199" s="106"/>
      <c r="H199" s="15">
        <f t="shared" si="32"/>
        <v>0</v>
      </c>
      <c r="J199" s="104" t="s">
        <v>147</v>
      </c>
      <c r="K199" s="91">
        <v>50</v>
      </c>
      <c r="L199" s="113">
        <v>1.95</v>
      </c>
      <c r="M199" s="113">
        <f>K199*L199</f>
        <v>97.5</v>
      </c>
      <c r="N199" s="417">
        <f>M199*$C$26/1000</f>
        <v>9.75</v>
      </c>
      <c r="O199" s="91" t="s">
        <v>25</v>
      </c>
      <c r="P199" s="110"/>
      <c r="Q199" s="110">
        <f>M199*P199/1000</f>
        <v>0</v>
      </c>
      <c r="R199" s="158"/>
      <c r="S199" s="12"/>
      <c r="T199" s="133"/>
      <c r="U199" s="133"/>
      <c r="V199" s="133"/>
      <c r="W199" s="12"/>
      <c r="X199" s="132"/>
      <c r="Y199" s="41"/>
    </row>
    <row r="200" spans="1:26" x14ac:dyDescent="0.25">
      <c r="A200" s="8" t="s">
        <v>11</v>
      </c>
      <c r="B200" s="442">
        <v>10</v>
      </c>
      <c r="C200" s="113">
        <v>1.35</v>
      </c>
      <c r="D200" s="105">
        <f t="shared" si="35"/>
        <v>13.5</v>
      </c>
      <c r="E200" s="39">
        <f>D200*$C$26/1000</f>
        <v>1.35</v>
      </c>
      <c r="F200" s="57" t="s">
        <v>16</v>
      </c>
      <c r="G200" s="106"/>
      <c r="H200" s="15">
        <f t="shared" si="32"/>
        <v>0</v>
      </c>
      <c r="I200" s="85"/>
      <c r="J200" s="396"/>
      <c r="K200" s="396"/>
      <c r="L200" s="396"/>
      <c r="M200" s="396"/>
      <c r="N200" s="399"/>
      <c r="O200" s="397"/>
      <c r="P200" s="404"/>
      <c r="Q200" s="47">
        <f>SUM(Q199)</f>
        <v>0</v>
      </c>
      <c r="R200" s="158"/>
      <c r="S200" s="12"/>
      <c r="T200" s="133"/>
      <c r="U200" s="133"/>
      <c r="V200" s="133"/>
      <c r="W200" s="12"/>
      <c r="X200" s="132"/>
      <c r="Y200" s="52"/>
    </row>
    <row r="201" spans="1:26" x14ac:dyDescent="0.25">
      <c r="A201" s="38"/>
      <c r="B201" s="121"/>
      <c r="C201" s="121"/>
      <c r="D201" s="418"/>
      <c r="E201" s="36"/>
      <c r="F201" s="287"/>
      <c r="G201" s="132"/>
      <c r="H201" s="150">
        <f>SUM(H190:H200)</f>
        <v>0</v>
      </c>
      <c r="I201" s="85"/>
      <c r="J201" s="120"/>
      <c r="K201" s="120"/>
      <c r="L201" s="120"/>
      <c r="M201" s="120"/>
      <c r="N201" s="131"/>
      <c r="O201" s="115"/>
      <c r="P201" s="128"/>
      <c r="Q201" s="46"/>
      <c r="R201" s="158"/>
      <c r="S201" s="12"/>
      <c r="T201" s="85"/>
      <c r="U201" s="85"/>
      <c r="V201" s="85"/>
      <c r="W201" s="85"/>
      <c r="X201" s="85"/>
      <c r="Y201" s="48"/>
    </row>
    <row r="202" spans="1:26" x14ac:dyDescent="0.25">
      <c r="H202" s="48"/>
      <c r="M202" s="120"/>
      <c r="N202" s="160"/>
      <c r="O202" s="12"/>
      <c r="P202" s="122"/>
      <c r="Q202" s="53"/>
      <c r="R202" s="85"/>
      <c r="S202" s="85"/>
      <c r="T202" s="161"/>
      <c r="U202" s="161"/>
      <c r="V202" s="161"/>
    </row>
    <row r="203" spans="1:26" ht="15.75" thickBot="1" x14ac:dyDescent="0.3">
      <c r="H203" s="46"/>
      <c r="R203" s="156"/>
      <c r="S203" s="152"/>
      <c r="T203" s="161"/>
      <c r="U203" s="161"/>
      <c r="V203" s="161"/>
    </row>
    <row r="204" spans="1:26" ht="15.75" thickBot="1" x14ac:dyDescent="0.3">
      <c r="A204" s="566" t="s">
        <v>120</v>
      </c>
      <c r="B204" s="567"/>
      <c r="C204" s="567"/>
      <c r="D204" s="567"/>
      <c r="E204" s="567"/>
      <c r="F204" s="567"/>
      <c r="G204" s="567"/>
      <c r="H204" s="568"/>
      <c r="R204" s="156"/>
      <c r="S204" s="152"/>
      <c r="T204" s="161"/>
      <c r="U204" s="161"/>
      <c r="V204" s="161"/>
    </row>
    <row r="205" spans="1:26" ht="25.5" x14ac:dyDescent="0.25">
      <c r="A205" s="101" t="s">
        <v>13</v>
      </c>
      <c r="B205" s="102" t="s">
        <v>45</v>
      </c>
      <c r="C205" s="102" t="s">
        <v>107</v>
      </c>
      <c r="D205" s="102" t="s">
        <v>108</v>
      </c>
      <c r="E205" s="579" t="s">
        <v>15</v>
      </c>
      <c r="F205" s="580"/>
      <c r="G205" s="101" t="s">
        <v>0</v>
      </c>
      <c r="H205" s="101" t="s">
        <v>1</v>
      </c>
      <c r="R205" s="156"/>
      <c r="S205" s="152"/>
      <c r="T205" s="161"/>
      <c r="U205" s="161"/>
      <c r="V205" s="161"/>
    </row>
    <row r="206" spans="1:26" x14ac:dyDescent="0.25">
      <c r="A206" s="104" t="s">
        <v>120</v>
      </c>
      <c r="B206" s="441">
        <v>25</v>
      </c>
      <c r="C206" s="113">
        <v>1.31</v>
      </c>
      <c r="D206" s="112">
        <f>B206*C206</f>
        <v>32.75</v>
      </c>
      <c r="E206" s="39">
        <f>D206*$C$26/1000</f>
        <v>3.2749999999999999</v>
      </c>
      <c r="F206" s="91" t="s">
        <v>25</v>
      </c>
      <c r="G206" s="108"/>
      <c r="H206" s="108">
        <f>D206*G206/1000</f>
        <v>0</v>
      </c>
      <c r="R206" s="156"/>
      <c r="S206" s="152"/>
      <c r="T206" s="161"/>
      <c r="U206" s="161"/>
      <c r="V206" s="161"/>
    </row>
    <row r="207" spans="1:26" x14ac:dyDescent="0.25">
      <c r="A207" s="104" t="s">
        <v>5</v>
      </c>
      <c r="B207" s="441">
        <v>0.5</v>
      </c>
      <c r="C207" s="113">
        <v>1</v>
      </c>
      <c r="D207" s="112">
        <f>B207*C207</f>
        <v>0.5</v>
      </c>
      <c r="E207" s="39">
        <f>D207*$C$26/1000</f>
        <v>0.05</v>
      </c>
      <c r="F207" s="91" t="s">
        <v>25</v>
      </c>
      <c r="G207" s="108"/>
      <c r="H207" s="108">
        <f>D207*G207/1000</f>
        <v>0</v>
      </c>
      <c r="R207" s="156"/>
      <c r="S207" s="152"/>
      <c r="T207" s="161"/>
      <c r="U207" s="161"/>
      <c r="V207" s="161"/>
    </row>
    <row r="208" spans="1:26" x14ac:dyDescent="0.25">
      <c r="A208" s="120"/>
      <c r="B208" s="483"/>
      <c r="C208" s="121"/>
      <c r="D208" s="485"/>
      <c r="E208" s="173"/>
      <c r="F208" s="12"/>
      <c r="G208" s="147"/>
      <c r="H208" s="162">
        <f>SUM(H206:H207)</f>
        <v>0</v>
      </c>
      <c r="R208" s="156"/>
      <c r="S208" s="152"/>
      <c r="T208" s="161"/>
      <c r="U208" s="161"/>
      <c r="V208" s="161"/>
    </row>
    <row r="209" spans="1:27" x14ac:dyDescent="0.25">
      <c r="R209" s="156"/>
      <c r="S209" s="152"/>
      <c r="T209" s="161"/>
      <c r="U209" s="161"/>
      <c r="V209" s="161"/>
    </row>
    <row r="210" spans="1:27" s="124" customFormat="1" x14ac:dyDescent="0.25">
      <c r="A210" s="577" t="s">
        <v>62</v>
      </c>
      <c r="B210" s="577"/>
      <c r="C210" s="577"/>
      <c r="D210" s="577"/>
      <c r="E210" s="577"/>
      <c r="F210" s="577"/>
      <c r="G210" s="577"/>
      <c r="H210" s="577"/>
      <c r="I210" s="577"/>
      <c r="J210" s="577"/>
      <c r="K210" s="577"/>
      <c r="L210" s="577"/>
      <c r="M210" s="577"/>
      <c r="N210" s="577"/>
      <c r="O210" s="577"/>
      <c r="P210" s="577"/>
      <c r="Q210" s="577"/>
      <c r="R210" s="577"/>
      <c r="S210" s="577"/>
      <c r="T210" s="577"/>
      <c r="U210" s="577"/>
      <c r="V210" s="577"/>
      <c r="W210" s="577"/>
      <c r="X210" s="577"/>
      <c r="Y210" s="577"/>
      <c r="Z210" s="577"/>
      <c r="AA210" s="577"/>
    </row>
    <row r="211" spans="1:27" ht="15.75" thickBot="1" x14ac:dyDescent="0.3">
      <c r="A211" s="124"/>
      <c r="B211" s="124"/>
      <c r="C211" s="124"/>
      <c r="D211" s="124"/>
      <c r="E211" s="124"/>
      <c r="F211" s="124"/>
      <c r="G211" s="124"/>
      <c r="H211" s="124"/>
      <c r="J211" s="291"/>
      <c r="K211" s="291"/>
      <c r="L211" s="291"/>
      <c r="R211" s="156"/>
      <c r="S211" s="152"/>
    </row>
    <row r="212" spans="1:27" s="124" customFormat="1" ht="15.75" thickBot="1" x14ac:dyDescent="0.3">
      <c r="A212" s="566" t="s">
        <v>115</v>
      </c>
      <c r="B212" s="567"/>
      <c r="C212" s="567"/>
      <c r="D212" s="567"/>
      <c r="E212" s="567"/>
      <c r="F212" s="567"/>
      <c r="G212" s="567"/>
      <c r="H212" s="568"/>
      <c r="T212" s="161"/>
      <c r="U212" s="161"/>
      <c r="V212" s="161"/>
      <c r="W212" s="79"/>
      <c r="X212" s="79"/>
      <c r="Y212" s="79"/>
      <c r="Z212" s="79"/>
      <c r="AA212" s="79"/>
    </row>
    <row r="213" spans="1:27" ht="25.5" x14ac:dyDescent="0.25">
      <c r="A213" s="101" t="s">
        <v>13</v>
      </c>
      <c r="B213" s="102" t="s">
        <v>45</v>
      </c>
      <c r="C213" s="102" t="s">
        <v>107</v>
      </c>
      <c r="D213" s="102" t="s">
        <v>108</v>
      </c>
      <c r="E213" s="578" t="s">
        <v>15</v>
      </c>
      <c r="F213" s="578"/>
      <c r="G213" s="101" t="s">
        <v>0</v>
      </c>
      <c r="H213" s="101" t="s">
        <v>1</v>
      </c>
      <c r="R213" s="156"/>
      <c r="S213" s="152"/>
      <c r="T213" s="161"/>
      <c r="U213" s="161"/>
      <c r="V213" s="161"/>
    </row>
    <row r="214" spans="1:27" x14ac:dyDescent="0.25">
      <c r="A214" s="104" t="s">
        <v>41</v>
      </c>
      <c r="B214" s="440">
        <v>15</v>
      </c>
      <c r="C214" s="113">
        <v>1</v>
      </c>
      <c r="D214" s="113">
        <f>B214*C214</f>
        <v>15</v>
      </c>
      <c r="E214" s="4">
        <f>D214*$C$26/1000</f>
        <v>1.5</v>
      </c>
      <c r="F214" s="91" t="s">
        <v>25</v>
      </c>
      <c r="G214" s="106"/>
      <c r="H214" s="15">
        <f>D214*G214/1000</f>
        <v>0</v>
      </c>
      <c r="R214" s="156"/>
      <c r="S214" s="152"/>
      <c r="T214" s="161"/>
      <c r="U214" s="161"/>
      <c r="V214" s="161"/>
    </row>
    <row r="215" spans="1:27" x14ac:dyDescent="0.25">
      <c r="A215" s="90" t="s">
        <v>68</v>
      </c>
      <c r="B215" s="445">
        <v>20</v>
      </c>
      <c r="C215" s="92">
        <v>1</v>
      </c>
      <c r="D215" s="113">
        <f t="shared" ref="D215:D227" si="36">B215*C215</f>
        <v>20</v>
      </c>
      <c r="E215" s="4">
        <f>D215*$C$26/500</f>
        <v>4</v>
      </c>
      <c r="F215" s="14" t="s">
        <v>35</v>
      </c>
      <c r="G215" s="108"/>
      <c r="H215" s="15">
        <f>D215*G215/500</f>
        <v>0</v>
      </c>
      <c r="R215" s="156"/>
      <c r="S215" s="152"/>
      <c r="T215" s="161"/>
      <c r="U215" s="161"/>
      <c r="V215" s="161"/>
      <c r="AA215" s="100"/>
    </row>
    <row r="216" spans="1:27" x14ac:dyDescent="0.25">
      <c r="A216" s="90" t="s">
        <v>65</v>
      </c>
      <c r="B216" s="447">
        <v>20</v>
      </c>
      <c r="C216" s="92">
        <v>1.21</v>
      </c>
      <c r="D216" s="113">
        <f t="shared" si="36"/>
        <v>24.2</v>
      </c>
      <c r="E216" s="4">
        <f t="shared" ref="E216:E223" si="37">D216*$C$26/1000</f>
        <v>2.42</v>
      </c>
      <c r="F216" s="14" t="s">
        <v>25</v>
      </c>
      <c r="G216" s="108"/>
      <c r="H216" s="15">
        <f t="shared" ref="H216:H227" si="38">D216*G216/1000</f>
        <v>0</v>
      </c>
      <c r="R216" s="156"/>
      <c r="S216" s="152"/>
      <c r="T216" s="161"/>
      <c r="U216" s="161"/>
      <c r="V216" s="161"/>
      <c r="AA216" s="100"/>
    </row>
    <row r="217" spans="1:27" x14ac:dyDescent="0.25">
      <c r="A217" s="8" t="s">
        <v>52</v>
      </c>
      <c r="B217" s="440">
        <v>15</v>
      </c>
      <c r="C217" s="113">
        <v>1.1599999999999999</v>
      </c>
      <c r="D217" s="105">
        <f t="shared" si="36"/>
        <v>17.399999999999999</v>
      </c>
      <c r="E217" s="4">
        <f t="shared" si="37"/>
        <v>1.7399999999999998</v>
      </c>
      <c r="F217" s="57" t="s">
        <v>16</v>
      </c>
      <c r="G217" s="419"/>
      <c r="H217" s="15">
        <f t="shared" si="38"/>
        <v>0</v>
      </c>
      <c r="R217" s="100"/>
      <c r="S217" s="152"/>
      <c r="T217" s="122"/>
      <c r="U217" s="122"/>
      <c r="V217" s="122"/>
      <c r="W217" s="124"/>
      <c r="X217" s="124"/>
      <c r="Y217" s="124"/>
      <c r="Z217" s="124"/>
    </row>
    <row r="218" spans="1:27" x14ac:dyDescent="0.25">
      <c r="A218" s="90" t="s">
        <v>7</v>
      </c>
      <c r="B218" s="440">
        <v>15</v>
      </c>
      <c r="C218" s="113">
        <v>1.18</v>
      </c>
      <c r="D218" s="105">
        <f t="shared" si="36"/>
        <v>17.7</v>
      </c>
      <c r="E218" s="4">
        <f t="shared" si="37"/>
        <v>1.77</v>
      </c>
      <c r="F218" s="14" t="s">
        <v>25</v>
      </c>
      <c r="G218" s="108"/>
      <c r="H218" s="15">
        <f t="shared" si="38"/>
        <v>0</v>
      </c>
      <c r="R218" s="100"/>
      <c r="S218" s="121"/>
      <c r="T218" s="100"/>
      <c r="U218" s="100"/>
      <c r="V218" s="100"/>
      <c r="W218" s="100"/>
      <c r="X218" s="100"/>
      <c r="Y218" s="100"/>
      <c r="Z218" s="100"/>
      <c r="AA218" s="124"/>
    </row>
    <row r="219" spans="1:27" x14ac:dyDescent="0.25">
      <c r="A219" s="90" t="s">
        <v>8</v>
      </c>
      <c r="B219" s="445">
        <v>15</v>
      </c>
      <c r="C219" s="92">
        <v>1.46</v>
      </c>
      <c r="D219" s="105">
        <f t="shared" si="36"/>
        <v>21.9</v>
      </c>
      <c r="E219" s="4">
        <f t="shared" si="37"/>
        <v>2.19</v>
      </c>
      <c r="F219" s="14" t="s">
        <v>25</v>
      </c>
      <c r="G219" s="108"/>
      <c r="H219" s="15">
        <f t="shared" si="38"/>
        <v>0</v>
      </c>
      <c r="R219" s="287"/>
      <c r="T219" s="49"/>
      <c r="U219" s="49"/>
      <c r="V219" s="49"/>
      <c r="W219" s="49"/>
      <c r="X219" s="49"/>
      <c r="Y219" s="49"/>
      <c r="Z219" s="49"/>
    </row>
    <row r="220" spans="1:27" x14ac:dyDescent="0.25">
      <c r="A220" s="90" t="s">
        <v>10</v>
      </c>
      <c r="B220" s="450">
        <v>8</v>
      </c>
      <c r="C220" s="113">
        <v>1.18</v>
      </c>
      <c r="D220" s="105">
        <f t="shared" si="36"/>
        <v>9.44</v>
      </c>
      <c r="E220" s="4">
        <f t="shared" si="37"/>
        <v>0.94399999999999995</v>
      </c>
      <c r="F220" s="14" t="s">
        <v>25</v>
      </c>
      <c r="G220" s="108"/>
      <c r="H220" s="15">
        <f t="shared" si="38"/>
        <v>0</v>
      </c>
      <c r="R220" s="587"/>
      <c r="S220" s="49"/>
      <c r="T220" s="287"/>
      <c r="U220" s="287"/>
      <c r="V220" s="287"/>
      <c r="W220" s="287"/>
      <c r="X220" s="287"/>
      <c r="Y220" s="287"/>
      <c r="Z220" s="287"/>
    </row>
    <row r="221" spans="1:27" x14ac:dyDescent="0.25">
      <c r="A221" s="90" t="s">
        <v>9</v>
      </c>
      <c r="B221" s="445">
        <v>1</v>
      </c>
      <c r="C221" s="92">
        <v>1.43</v>
      </c>
      <c r="D221" s="105">
        <f t="shared" si="36"/>
        <v>1.43</v>
      </c>
      <c r="E221" s="4">
        <f t="shared" si="37"/>
        <v>0.14299999999999999</v>
      </c>
      <c r="F221" s="14" t="s">
        <v>25</v>
      </c>
      <c r="G221" s="108"/>
      <c r="H221" s="15">
        <f t="shared" si="38"/>
        <v>0</v>
      </c>
      <c r="R221" s="587"/>
      <c r="S221" s="287"/>
      <c r="T221" s="287"/>
      <c r="U221" s="287"/>
      <c r="V221" s="287"/>
      <c r="W221" s="587"/>
      <c r="X221" s="587"/>
      <c r="Y221" s="587"/>
      <c r="Z221" s="587"/>
    </row>
    <row r="222" spans="1:27" x14ac:dyDescent="0.25">
      <c r="A222" s="90" t="s">
        <v>2</v>
      </c>
      <c r="B222" s="446">
        <v>4</v>
      </c>
      <c r="C222" s="92">
        <v>1.08</v>
      </c>
      <c r="D222" s="112">
        <f t="shared" si="36"/>
        <v>4.32</v>
      </c>
      <c r="E222" s="4">
        <f t="shared" si="37"/>
        <v>0.432</v>
      </c>
      <c r="F222" s="14" t="s">
        <v>25</v>
      </c>
      <c r="G222" s="108"/>
      <c r="H222" s="15">
        <f t="shared" si="38"/>
        <v>0</v>
      </c>
      <c r="R222" s="287"/>
      <c r="S222" s="287"/>
      <c r="T222" s="287"/>
      <c r="U222" s="287"/>
      <c r="V222" s="287"/>
      <c r="W222" s="287"/>
      <c r="X222" s="287"/>
      <c r="Y222" s="287"/>
      <c r="Z222" s="287"/>
    </row>
    <row r="223" spans="1:27" x14ac:dyDescent="0.25">
      <c r="A223" s="90" t="s">
        <v>3</v>
      </c>
      <c r="B223" s="445">
        <v>0.5</v>
      </c>
      <c r="C223" s="92">
        <v>1.18</v>
      </c>
      <c r="D223" s="112">
        <f t="shared" si="36"/>
        <v>0.59</v>
      </c>
      <c r="E223" s="4">
        <f t="shared" si="37"/>
        <v>5.8999999999999997E-2</v>
      </c>
      <c r="F223" s="14" t="s">
        <v>25</v>
      </c>
      <c r="G223" s="108"/>
      <c r="H223" s="15">
        <f t="shared" si="38"/>
        <v>0</v>
      </c>
    </row>
    <row r="224" spans="1:27" x14ac:dyDescent="0.25">
      <c r="A224" s="104" t="s">
        <v>12</v>
      </c>
      <c r="B224" s="440">
        <v>0.4</v>
      </c>
      <c r="C224" s="113">
        <v>1.35</v>
      </c>
      <c r="D224" s="112">
        <f t="shared" si="36"/>
        <v>0.54</v>
      </c>
      <c r="E224" s="4">
        <f>D224*$C$26/30</f>
        <v>1.8</v>
      </c>
      <c r="F224" s="91" t="s">
        <v>109</v>
      </c>
      <c r="G224" s="108"/>
      <c r="H224" s="15">
        <f>D224*G224/30</f>
        <v>0</v>
      </c>
    </row>
    <row r="225" spans="1:27" x14ac:dyDescent="0.25">
      <c r="A225" s="90" t="s">
        <v>6</v>
      </c>
      <c r="B225" s="440">
        <v>0.7</v>
      </c>
      <c r="C225" s="113">
        <v>1</v>
      </c>
      <c r="D225" s="113">
        <f t="shared" si="36"/>
        <v>0.7</v>
      </c>
      <c r="E225" s="4">
        <f>D225*$C$26/100</f>
        <v>0.7</v>
      </c>
      <c r="F225" s="14" t="s">
        <v>36</v>
      </c>
      <c r="G225" s="108"/>
      <c r="H225" s="15">
        <f>D225*G225/100</f>
        <v>0</v>
      </c>
    </row>
    <row r="226" spans="1:27" x14ac:dyDescent="0.25">
      <c r="A226" s="90" t="s">
        <v>127</v>
      </c>
      <c r="B226" s="440">
        <v>2</v>
      </c>
      <c r="C226" s="113">
        <v>1</v>
      </c>
      <c r="D226" s="113">
        <f t="shared" si="36"/>
        <v>2</v>
      </c>
      <c r="E226" s="93">
        <f>D226*$C$26/900</f>
        <v>0.22222222222222221</v>
      </c>
      <c r="F226" s="14" t="s">
        <v>40</v>
      </c>
      <c r="G226" s="108"/>
      <c r="H226" s="15">
        <f>D226*G226/900</f>
        <v>0</v>
      </c>
    </row>
    <row r="227" spans="1:27" ht="15.75" thickBot="1" x14ac:dyDescent="0.3">
      <c r="A227" s="90" t="s">
        <v>5</v>
      </c>
      <c r="B227" s="440">
        <v>0.5</v>
      </c>
      <c r="C227" s="113">
        <v>1</v>
      </c>
      <c r="D227" s="113">
        <f t="shared" si="36"/>
        <v>0.5</v>
      </c>
      <c r="E227" s="4">
        <f>D227*$C$26/1000</f>
        <v>0.05</v>
      </c>
      <c r="F227" s="14" t="s">
        <v>25</v>
      </c>
      <c r="G227" s="108"/>
      <c r="H227" s="15">
        <f t="shared" si="38"/>
        <v>0</v>
      </c>
    </row>
    <row r="228" spans="1:27" ht="19.5" thickBot="1" x14ac:dyDescent="0.3">
      <c r="A228" s="409"/>
      <c r="B228" s="118"/>
      <c r="C228" s="118"/>
      <c r="D228" s="118"/>
      <c r="E228" s="410"/>
      <c r="F228" s="118"/>
      <c r="H228" s="47">
        <f>SUM(H214:H227)</f>
        <v>0</v>
      </c>
      <c r="L228" s="572" t="s">
        <v>96</v>
      </c>
      <c r="M228" s="573"/>
      <c r="N228" s="163">
        <f>SUM(H183,Q183,H201,Q195,Q200,H208,H228)</f>
        <v>0</v>
      </c>
      <c r="P228" s="79">
        <v>2.02</v>
      </c>
    </row>
    <row r="230" spans="1:27" s="124" customFormat="1" ht="26.25" customHeight="1" x14ac:dyDescent="0.25">
      <c r="A230" s="576" t="s">
        <v>22</v>
      </c>
      <c r="B230" s="576"/>
      <c r="C230" s="576"/>
      <c r="D230" s="576"/>
      <c r="E230" s="576"/>
      <c r="F230" s="576"/>
      <c r="G230" s="576"/>
      <c r="H230" s="576"/>
      <c r="I230" s="576"/>
      <c r="J230" s="576"/>
      <c r="K230" s="576"/>
      <c r="L230" s="576"/>
      <c r="M230" s="576"/>
      <c r="N230" s="576"/>
      <c r="O230" s="576"/>
      <c r="P230" s="576"/>
      <c r="Q230" s="576"/>
      <c r="R230" s="576"/>
      <c r="S230" s="576"/>
      <c r="T230" s="576"/>
      <c r="U230" s="576"/>
      <c r="V230" s="576"/>
      <c r="W230" s="576"/>
      <c r="X230" s="576"/>
      <c r="Y230" s="576"/>
      <c r="Z230" s="576"/>
      <c r="AA230" s="576"/>
    </row>
    <row r="231" spans="1:27" s="124" customFormat="1" ht="14.25" customHeight="1" x14ac:dyDescent="0.25">
      <c r="A231" s="164"/>
      <c r="B231" s="164"/>
      <c r="C231" s="164"/>
      <c r="D231" s="164"/>
      <c r="E231" s="164"/>
      <c r="F231" s="164"/>
      <c r="G231" s="164"/>
      <c r="H231" s="164"/>
      <c r="I231" s="100"/>
      <c r="J231" s="79"/>
      <c r="K231" s="79"/>
      <c r="L231" s="79"/>
      <c r="T231" s="131"/>
      <c r="U231" s="131"/>
      <c r="V231" s="131"/>
      <c r="W231" s="131"/>
      <c r="X231" s="36"/>
      <c r="Y231" s="36"/>
      <c r="Z231" s="36"/>
      <c r="AA231" s="164"/>
    </row>
    <row r="232" spans="1:27" s="124" customFormat="1" ht="18" customHeight="1" x14ac:dyDescent="0.25">
      <c r="A232" s="577" t="s">
        <v>59</v>
      </c>
      <c r="B232" s="577"/>
      <c r="C232" s="577"/>
      <c r="D232" s="577"/>
      <c r="E232" s="577"/>
      <c r="F232" s="577"/>
      <c r="G232" s="577"/>
      <c r="H232" s="577"/>
      <c r="I232" s="577"/>
      <c r="J232" s="577"/>
      <c r="K232" s="577"/>
      <c r="L232" s="577"/>
      <c r="M232" s="577"/>
      <c r="N232" s="577"/>
      <c r="O232" s="577"/>
      <c r="P232" s="577"/>
      <c r="Q232" s="577"/>
      <c r="R232" s="577"/>
      <c r="S232" s="577"/>
      <c r="T232" s="577"/>
      <c r="U232" s="577"/>
      <c r="V232" s="577"/>
      <c r="W232" s="577"/>
      <c r="X232" s="577"/>
      <c r="Y232" s="577"/>
      <c r="Z232" s="577"/>
      <c r="AA232" s="577"/>
    </row>
    <row r="233" spans="1:27" s="124" customFormat="1" ht="15.75" customHeight="1" thickBot="1" x14ac:dyDescent="0.3">
      <c r="A233" s="79"/>
      <c r="B233" s="83"/>
      <c r="C233" s="83"/>
      <c r="D233" s="83"/>
      <c r="E233" s="83"/>
      <c r="F233" s="83"/>
      <c r="G233" s="79"/>
      <c r="H233" s="85"/>
      <c r="I233" s="79"/>
      <c r="J233" s="588"/>
      <c r="K233" s="588"/>
      <c r="L233" s="588"/>
      <c r="T233" s="288"/>
      <c r="U233" s="288"/>
      <c r="V233" s="288"/>
      <c r="W233" s="288"/>
      <c r="X233" s="288"/>
      <c r="Y233" s="288"/>
      <c r="Z233" s="288"/>
      <c r="AA233" s="100"/>
    </row>
    <row r="234" spans="1:27" s="124" customFormat="1" ht="15.75" customHeight="1" thickBot="1" x14ac:dyDescent="0.3">
      <c r="A234" s="566" t="s">
        <v>77</v>
      </c>
      <c r="B234" s="567"/>
      <c r="C234" s="567"/>
      <c r="D234" s="567"/>
      <c r="E234" s="567"/>
      <c r="F234" s="567"/>
      <c r="G234" s="567"/>
      <c r="H234" s="568"/>
      <c r="I234" s="100"/>
      <c r="J234" s="566" t="s">
        <v>214</v>
      </c>
      <c r="K234" s="567"/>
      <c r="L234" s="567"/>
      <c r="M234" s="567"/>
      <c r="N234" s="567"/>
      <c r="O234" s="567"/>
      <c r="P234" s="567"/>
      <c r="Q234" s="568"/>
      <c r="R234" s="164"/>
      <c r="S234" s="164"/>
      <c r="T234" s="164"/>
      <c r="U234" s="164"/>
      <c r="V234" s="164"/>
      <c r="W234" s="164"/>
      <c r="X234" s="164"/>
      <c r="Y234" s="164"/>
      <c r="Z234" s="164"/>
    </row>
    <row r="235" spans="1:27" ht="25.5" x14ac:dyDescent="0.25">
      <c r="A235" s="101" t="s">
        <v>13</v>
      </c>
      <c r="B235" s="102" t="s">
        <v>45</v>
      </c>
      <c r="C235" s="102" t="s">
        <v>107</v>
      </c>
      <c r="D235" s="102" t="s">
        <v>108</v>
      </c>
      <c r="E235" s="578" t="s">
        <v>15</v>
      </c>
      <c r="F235" s="578"/>
      <c r="G235" s="101" t="s">
        <v>0</v>
      </c>
      <c r="H235" s="101" t="s">
        <v>1</v>
      </c>
      <c r="I235" s="100"/>
      <c r="J235" s="101" t="s">
        <v>13</v>
      </c>
      <c r="K235" s="102" t="s">
        <v>45</v>
      </c>
      <c r="L235" s="103" t="s">
        <v>107</v>
      </c>
      <c r="M235" s="103" t="s">
        <v>108</v>
      </c>
      <c r="N235" s="569" t="s">
        <v>15</v>
      </c>
      <c r="O235" s="570"/>
      <c r="P235" s="101" t="s">
        <v>0</v>
      </c>
      <c r="Q235" s="101" t="s">
        <v>1</v>
      </c>
      <c r="R235" s="100"/>
      <c r="S235" s="164"/>
      <c r="T235" s="100"/>
      <c r="U235" s="100"/>
      <c r="V235" s="100"/>
      <c r="W235" s="100"/>
      <c r="X235" s="100"/>
      <c r="Y235" s="100"/>
      <c r="Z235" s="100"/>
      <c r="AA235" s="124"/>
    </row>
    <row r="236" spans="1:27" ht="25.5" x14ac:dyDescent="0.25">
      <c r="A236" s="8" t="s">
        <v>75</v>
      </c>
      <c r="B236" s="91">
        <v>8</v>
      </c>
      <c r="C236" s="92">
        <v>1</v>
      </c>
      <c r="D236" s="92">
        <f>B236*C236</f>
        <v>8</v>
      </c>
      <c r="E236" s="39">
        <f>D236*$C$26/400</f>
        <v>2</v>
      </c>
      <c r="F236" s="14" t="s">
        <v>38</v>
      </c>
      <c r="G236" s="108"/>
      <c r="H236" s="108">
        <f>D236*G236/400</f>
        <v>0</v>
      </c>
      <c r="I236" s="100"/>
      <c r="J236" s="428" t="s">
        <v>214</v>
      </c>
      <c r="K236" s="91">
        <v>21</v>
      </c>
      <c r="L236" s="91">
        <v>1</v>
      </c>
      <c r="M236" s="92">
        <f>K236*L236</f>
        <v>21</v>
      </c>
      <c r="N236" s="39">
        <f>M236*$C$26/400</f>
        <v>5.25</v>
      </c>
      <c r="O236" s="14" t="s">
        <v>152</v>
      </c>
      <c r="P236" s="106"/>
      <c r="Q236" s="95">
        <f>M236*P236/400</f>
        <v>0</v>
      </c>
      <c r="R236" s="100"/>
      <c r="S236" s="100"/>
      <c r="T236" s="100"/>
      <c r="U236" s="100"/>
      <c r="V236" s="100"/>
      <c r="W236" s="100"/>
      <c r="X236" s="100"/>
      <c r="Y236" s="100"/>
      <c r="Z236" s="100"/>
    </row>
    <row r="237" spans="1:27" x14ac:dyDescent="0.25">
      <c r="A237" s="8" t="s">
        <v>26</v>
      </c>
      <c r="B237" s="91">
        <v>15</v>
      </c>
      <c r="C237" s="92">
        <v>1</v>
      </c>
      <c r="D237" s="92">
        <f t="shared" ref="D237:D238" si="39">B237*C237</f>
        <v>15</v>
      </c>
      <c r="E237" s="39">
        <f>D237*$C$26/400</f>
        <v>3.75</v>
      </c>
      <c r="F237" s="14" t="s">
        <v>38</v>
      </c>
      <c r="G237" s="108"/>
      <c r="H237" s="108">
        <f t="shared" ref="H237" si="40">D237*G237/400</f>
        <v>0</v>
      </c>
      <c r="I237" s="165"/>
      <c r="J237" s="126"/>
      <c r="K237" s="118"/>
      <c r="L237" s="118"/>
      <c r="M237" s="118"/>
      <c r="N237" s="154"/>
      <c r="O237" s="118"/>
      <c r="P237" s="132"/>
      <c r="Q237" s="47">
        <f>SUM(Q236)</f>
        <v>0</v>
      </c>
      <c r="R237" s="165"/>
      <c r="S237" s="165"/>
      <c r="T237" s="165"/>
      <c r="U237" s="165"/>
      <c r="V237" s="165"/>
      <c r="W237" s="165"/>
      <c r="X237" s="165"/>
      <c r="Y237" s="165"/>
      <c r="Z237" s="165"/>
      <c r="AA237" s="116"/>
    </row>
    <row r="238" spans="1:27" x14ac:dyDescent="0.25">
      <c r="A238" s="8" t="s">
        <v>28</v>
      </c>
      <c r="B238" s="91">
        <v>5</v>
      </c>
      <c r="C238" s="92">
        <v>1</v>
      </c>
      <c r="D238" s="92">
        <f t="shared" si="39"/>
        <v>5</v>
      </c>
      <c r="E238" s="39">
        <f>D238*$C$26/1000</f>
        <v>0.5</v>
      </c>
      <c r="F238" s="14" t="s">
        <v>25</v>
      </c>
      <c r="G238" s="108"/>
      <c r="H238" s="108">
        <f>D238*G238/1000</f>
        <v>0</v>
      </c>
      <c r="I238" s="165"/>
      <c r="R238" s="165"/>
      <c r="S238" s="165"/>
    </row>
    <row r="239" spans="1:27" s="124" customFormat="1" x14ac:dyDescent="0.25">
      <c r="A239" s="85"/>
      <c r="B239" s="85"/>
      <c r="C239" s="85"/>
      <c r="D239" s="85"/>
      <c r="E239" s="85"/>
      <c r="F239" s="85"/>
      <c r="G239" s="85"/>
      <c r="H239" s="47">
        <f>SUM(H236:H238)</f>
        <v>0</v>
      </c>
      <c r="I239" s="85"/>
      <c r="R239" s="79"/>
      <c r="S239" s="79"/>
      <c r="T239" s="79"/>
      <c r="U239" s="79"/>
      <c r="V239" s="79"/>
      <c r="W239" s="79"/>
      <c r="X239" s="79"/>
      <c r="Y239" s="79"/>
      <c r="Z239" s="79"/>
      <c r="AA239" s="79"/>
    </row>
    <row r="240" spans="1:27" s="124" customFormat="1" ht="19.5" customHeight="1" x14ac:dyDescent="0.25">
      <c r="A240" s="38"/>
      <c r="B240" s="12"/>
      <c r="C240" s="12"/>
      <c r="D240" s="12"/>
      <c r="E240" s="12"/>
      <c r="F240" s="12"/>
      <c r="H240" s="158"/>
      <c r="I240" s="100"/>
      <c r="R240" s="79"/>
      <c r="S240" s="79"/>
      <c r="T240" s="79"/>
      <c r="U240" s="79"/>
      <c r="V240" s="79"/>
      <c r="W240" s="79"/>
      <c r="X240" s="79"/>
      <c r="Y240" s="79"/>
      <c r="Z240" s="79"/>
      <c r="AA240" s="100"/>
    </row>
    <row r="241" spans="1:27" x14ac:dyDescent="0.25">
      <c r="A241" s="577" t="s">
        <v>60</v>
      </c>
      <c r="B241" s="577"/>
      <c r="C241" s="577"/>
      <c r="D241" s="577"/>
      <c r="E241" s="577"/>
      <c r="F241" s="577"/>
      <c r="G241" s="577"/>
      <c r="H241" s="577"/>
      <c r="I241" s="577"/>
      <c r="J241" s="577"/>
      <c r="K241" s="577"/>
      <c r="L241" s="577"/>
      <c r="M241" s="577"/>
      <c r="N241" s="577"/>
      <c r="O241" s="577"/>
      <c r="P241" s="577"/>
      <c r="Q241" s="577"/>
      <c r="R241" s="577"/>
      <c r="S241" s="577"/>
      <c r="T241" s="577"/>
      <c r="U241" s="577"/>
      <c r="V241" s="577"/>
      <c r="W241" s="577"/>
      <c r="X241" s="577"/>
      <c r="Y241" s="577"/>
      <c r="Z241" s="577"/>
      <c r="AA241" s="577"/>
    </row>
    <row r="242" spans="1:27" s="124" customFormat="1" ht="15.75" thickBot="1" x14ac:dyDescent="0.3">
      <c r="I242" s="100"/>
      <c r="R242" s="100"/>
      <c r="S242" s="79"/>
      <c r="T242" s="79"/>
      <c r="U242" s="79"/>
      <c r="V242" s="79"/>
      <c r="AA242" s="79"/>
    </row>
    <row r="243" spans="1:27" ht="15.75" thickBot="1" x14ac:dyDescent="0.3">
      <c r="A243" s="566" t="s">
        <v>78</v>
      </c>
      <c r="B243" s="567"/>
      <c r="C243" s="567"/>
      <c r="D243" s="567"/>
      <c r="E243" s="567"/>
      <c r="F243" s="567"/>
      <c r="G243" s="567"/>
      <c r="H243" s="568"/>
      <c r="I243" s="12"/>
      <c r="J243" s="566" t="s">
        <v>102</v>
      </c>
      <c r="K243" s="567"/>
      <c r="L243" s="567"/>
      <c r="M243" s="567"/>
      <c r="N243" s="567"/>
      <c r="O243" s="567"/>
      <c r="P243" s="567"/>
      <c r="Q243" s="568"/>
      <c r="R243" s="100"/>
      <c r="T243" s="100"/>
      <c r="U243" s="100"/>
      <c r="V243" s="100"/>
      <c r="W243" s="100"/>
      <c r="X243" s="100"/>
      <c r="Y243" s="100"/>
      <c r="Z243" s="100"/>
      <c r="AA243" s="124"/>
    </row>
    <row r="244" spans="1:27" ht="25.5" x14ac:dyDescent="0.25">
      <c r="A244" s="101" t="s">
        <v>13</v>
      </c>
      <c r="B244" s="102" t="s">
        <v>45</v>
      </c>
      <c r="C244" s="102" t="s">
        <v>107</v>
      </c>
      <c r="D244" s="102" t="s">
        <v>108</v>
      </c>
      <c r="E244" s="578" t="s">
        <v>15</v>
      </c>
      <c r="F244" s="578"/>
      <c r="G244" s="101" t="s">
        <v>0</v>
      </c>
      <c r="H244" s="101" t="s">
        <v>1</v>
      </c>
      <c r="I244" s="12"/>
      <c r="J244" s="101" t="s">
        <v>13</v>
      </c>
      <c r="K244" s="102" t="s">
        <v>45</v>
      </c>
      <c r="L244" s="102" t="s">
        <v>107</v>
      </c>
      <c r="M244" s="102" t="s">
        <v>108</v>
      </c>
      <c r="N244" s="579" t="s">
        <v>15</v>
      </c>
      <c r="O244" s="580"/>
      <c r="P244" s="101" t="s">
        <v>0</v>
      </c>
      <c r="Q244" s="101" t="s">
        <v>1</v>
      </c>
      <c r="R244" s="100"/>
      <c r="S244" s="100"/>
      <c r="T244" s="100"/>
      <c r="U244" s="100"/>
      <c r="V244" s="100"/>
      <c r="W244" s="100"/>
      <c r="X244" s="100"/>
      <c r="Y244" s="100"/>
      <c r="Z244" s="100"/>
    </row>
    <row r="245" spans="1:27" x14ac:dyDescent="0.25">
      <c r="A245" s="104" t="s">
        <v>50</v>
      </c>
      <c r="B245" s="96">
        <v>15</v>
      </c>
      <c r="C245" s="113">
        <v>1</v>
      </c>
      <c r="D245" s="113">
        <f>B245*C245</f>
        <v>15</v>
      </c>
      <c r="E245" s="39">
        <f t="shared" ref="E245:E252" si="41">D245*$C$26/1000</f>
        <v>1.5</v>
      </c>
      <c r="F245" s="91" t="s">
        <v>25</v>
      </c>
      <c r="G245" s="166"/>
      <c r="H245" s="17">
        <f>D245*G245/1000</f>
        <v>0</v>
      </c>
      <c r="I245" s="12"/>
      <c r="J245" s="90" t="s">
        <v>64</v>
      </c>
      <c r="K245" s="91">
        <v>10</v>
      </c>
      <c r="L245" s="92">
        <v>1</v>
      </c>
      <c r="M245" s="92">
        <f>K245*L245</f>
        <v>10</v>
      </c>
      <c r="N245" s="39">
        <f>M245*$C$26/1000</f>
        <v>1</v>
      </c>
      <c r="O245" s="14" t="s">
        <v>25</v>
      </c>
      <c r="P245" s="138"/>
      <c r="Q245" s="138">
        <f>M245*P245/1000</f>
        <v>0</v>
      </c>
      <c r="R245" s="124"/>
      <c r="S245" s="100"/>
      <c r="T245" s="152"/>
      <c r="U245" s="152"/>
      <c r="V245" s="152"/>
      <c r="W245" s="167"/>
      <c r="X245" s="115"/>
      <c r="Y245" s="168"/>
      <c r="Z245" s="168"/>
    </row>
    <row r="246" spans="1:27" x14ac:dyDescent="0.25">
      <c r="A246" s="104" t="s">
        <v>116</v>
      </c>
      <c r="B246" s="96">
        <v>25</v>
      </c>
      <c r="C246" s="113">
        <v>1.21</v>
      </c>
      <c r="D246" s="105">
        <f t="shared" ref="D246:D253" si="42">B246*C246</f>
        <v>30.25</v>
      </c>
      <c r="E246" s="39">
        <f t="shared" si="41"/>
        <v>3.0249999999999999</v>
      </c>
      <c r="F246" s="91" t="s">
        <v>25</v>
      </c>
      <c r="G246" s="166"/>
      <c r="H246" s="17">
        <f t="shared" ref="H246:H252" si="43">D246*G246/1000</f>
        <v>0</v>
      </c>
      <c r="I246" s="165"/>
      <c r="J246" s="90" t="s">
        <v>54</v>
      </c>
      <c r="K246" s="91">
        <v>4</v>
      </c>
      <c r="L246" s="92">
        <v>1</v>
      </c>
      <c r="M246" s="92">
        <f t="shared" ref="M246:M249" si="44">K246*L246</f>
        <v>4</v>
      </c>
      <c r="N246" s="39">
        <f>M246*$C$26/500</f>
        <v>0.8</v>
      </c>
      <c r="O246" s="14" t="s">
        <v>56</v>
      </c>
      <c r="P246" s="138"/>
      <c r="Q246" s="138">
        <f>M246*P246/500</f>
        <v>0</v>
      </c>
      <c r="S246" s="156"/>
      <c r="T246" s="152"/>
      <c r="U246" s="152"/>
      <c r="V246" s="152"/>
      <c r="W246" s="115"/>
      <c r="X246" s="115"/>
      <c r="Y246" s="123"/>
      <c r="Z246" s="54"/>
    </row>
    <row r="247" spans="1:27" x14ac:dyDescent="0.25">
      <c r="A247" s="104" t="s">
        <v>74</v>
      </c>
      <c r="B247" s="96">
        <v>2</v>
      </c>
      <c r="C247" s="113">
        <v>1.48</v>
      </c>
      <c r="D247" s="105">
        <f t="shared" si="42"/>
        <v>2.96</v>
      </c>
      <c r="E247" s="39">
        <f t="shared" si="41"/>
        <v>0.29599999999999999</v>
      </c>
      <c r="F247" s="91" t="s">
        <v>16</v>
      </c>
      <c r="G247" s="166"/>
      <c r="H247" s="17">
        <f t="shared" si="43"/>
        <v>0</v>
      </c>
      <c r="J247" s="90" t="s">
        <v>2</v>
      </c>
      <c r="K247" s="441">
        <v>4</v>
      </c>
      <c r="L247" s="92">
        <v>1.08</v>
      </c>
      <c r="M247" s="92">
        <f t="shared" si="44"/>
        <v>4.32</v>
      </c>
      <c r="N247" s="39">
        <f>M247*$C$26/1000</f>
        <v>0.432</v>
      </c>
      <c r="O247" s="14" t="s">
        <v>25</v>
      </c>
      <c r="P247" s="138"/>
      <c r="Q247" s="138">
        <f t="shared" ref="Q247:Q249" si="45">M247*P247/1000</f>
        <v>0</v>
      </c>
      <c r="S247" s="156"/>
    </row>
    <row r="248" spans="1:27" x14ac:dyDescent="0.25">
      <c r="A248" s="104" t="s">
        <v>51</v>
      </c>
      <c r="B248" s="442">
        <v>16</v>
      </c>
      <c r="C248" s="113">
        <v>1.35</v>
      </c>
      <c r="D248" s="105">
        <f t="shared" si="42"/>
        <v>21.6</v>
      </c>
      <c r="E248" s="39">
        <f t="shared" si="41"/>
        <v>2.16</v>
      </c>
      <c r="F248" s="91" t="s">
        <v>25</v>
      </c>
      <c r="G248" s="166"/>
      <c r="H248" s="17">
        <f t="shared" si="43"/>
        <v>0</v>
      </c>
      <c r="J248" s="90" t="s">
        <v>5</v>
      </c>
      <c r="K248" s="91">
        <v>0.5</v>
      </c>
      <c r="L248" s="92">
        <v>1</v>
      </c>
      <c r="M248" s="92">
        <f t="shared" si="44"/>
        <v>0.5</v>
      </c>
      <c r="N248" s="39">
        <f>M248*$C$26/1000</f>
        <v>0.05</v>
      </c>
      <c r="O248" s="14" t="s">
        <v>25</v>
      </c>
      <c r="P248" s="138"/>
      <c r="Q248" s="138">
        <f t="shared" si="45"/>
        <v>0</v>
      </c>
    </row>
    <row r="249" spans="1:27" ht="18.75" customHeight="1" x14ac:dyDescent="0.25">
      <c r="A249" s="104" t="s">
        <v>53</v>
      </c>
      <c r="B249" s="442">
        <v>0.5</v>
      </c>
      <c r="C249" s="92">
        <v>1.18</v>
      </c>
      <c r="D249" s="112">
        <f t="shared" si="42"/>
        <v>0.59</v>
      </c>
      <c r="E249" s="39">
        <f t="shared" si="41"/>
        <v>5.8999999999999997E-2</v>
      </c>
      <c r="F249" s="91" t="s">
        <v>25</v>
      </c>
      <c r="G249" s="166"/>
      <c r="H249" s="17">
        <f t="shared" si="43"/>
        <v>0</v>
      </c>
      <c r="J249" s="8" t="s">
        <v>7</v>
      </c>
      <c r="K249" s="91">
        <v>5</v>
      </c>
      <c r="L249" s="92">
        <v>1.18</v>
      </c>
      <c r="M249" s="92">
        <f t="shared" si="44"/>
        <v>5.8999999999999995</v>
      </c>
      <c r="N249" s="39">
        <f>M249*$C$26/1000</f>
        <v>0.59</v>
      </c>
      <c r="O249" s="57" t="s">
        <v>16</v>
      </c>
      <c r="P249" s="108"/>
      <c r="Q249" s="138">
        <f t="shared" si="45"/>
        <v>0</v>
      </c>
    </row>
    <row r="250" spans="1:27" x14ac:dyDescent="0.25">
      <c r="A250" s="104" t="s">
        <v>2</v>
      </c>
      <c r="B250" s="442">
        <v>4</v>
      </c>
      <c r="C250" s="113">
        <v>1.08</v>
      </c>
      <c r="D250" s="112">
        <f t="shared" si="42"/>
        <v>4.32</v>
      </c>
      <c r="E250" s="39">
        <f t="shared" si="41"/>
        <v>0.432</v>
      </c>
      <c r="F250" s="91" t="s">
        <v>25</v>
      </c>
      <c r="G250" s="166"/>
      <c r="H250" s="17">
        <f t="shared" si="43"/>
        <v>0</v>
      </c>
      <c r="Q250" s="47">
        <f>SUM(Q245:Q249)</f>
        <v>0</v>
      </c>
    </row>
    <row r="251" spans="1:27" ht="15.75" thickBot="1" x14ac:dyDescent="0.3">
      <c r="A251" s="104" t="s">
        <v>10</v>
      </c>
      <c r="B251" s="450">
        <v>8</v>
      </c>
      <c r="C251" s="113">
        <v>1.18</v>
      </c>
      <c r="D251" s="112">
        <f t="shared" si="42"/>
        <v>9.44</v>
      </c>
      <c r="E251" s="4">
        <f t="shared" si="41"/>
        <v>0.94399999999999995</v>
      </c>
      <c r="F251" s="14" t="s">
        <v>25</v>
      </c>
      <c r="G251" s="166"/>
      <c r="H251" s="17">
        <f t="shared" si="43"/>
        <v>0</v>
      </c>
    </row>
    <row r="252" spans="1:27" ht="15.75" thickBot="1" x14ac:dyDescent="0.3">
      <c r="A252" s="104" t="s">
        <v>5</v>
      </c>
      <c r="B252" s="96">
        <v>0.5</v>
      </c>
      <c r="C252" s="113">
        <v>1</v>
      </c>
      <c r="D252" s="112">
        <f t="shared" si="42"/>
        <v>0.5</v>
      </c>
      <c r="E252" s="39">
        <f t="shared" si="41"/>
        <v>0.05</v>
      </c>
      <c r="F252" s="91" t="s">
        <v>25</v>
      </c>
      <c r="G252" s="166"/>
      <c r="H252" s="17">
        <f t="shared" si="43"/>
        <v>0</v>
      </c>
      <c r="J252" s="566" t="s">
        <v>61</v>
      </c>
      <c r="K252" s="567"/>
      <c r="L252" s="567"/>
      <c r="M252" s="567"/>
      <c r="N252" s="567"/>
      <c r="O252" s="567"/>
      <c r="P252" s="567"/>
      <c r="Q252" s="568"/>
    </row>
    <row r="253" spans="1:27" ht="25.5" x14ac:dyDescent="0.25">
      <c r="A253" s="104" t="s">
        <v>12</v>
      </c>
      <c r="B253" s="96">
        <v>0.4</v>
      </c>
      <c r="C253" s="113">
        <v>1.35</v>
      </c>
      <c r="D253" s="112">
        <f t="shared" si="42"/>
        <v>0.54</v>
      </c>
      <c r="E253" s="39">
        <f>D253*$C$26/30</f>
        <v>1.8</v>
      </c>
      <c r="F253" s="91" t="s">
        <v>109</v>
      </c>
      <c r="G253" s="166"/>
      <c r="H253" s="17">
        <f>D253*G253/30</f>
        <v>0</v>
      </c>
      <c r="J253" s="101" t="s">
        <v>13</v>
      </c>
      <c r="K253" s="102" t="s">
        <v>45</v>
      </c>
      <c r="L253" s="102" t="s">
        <v>107</v>
      </c>
      <c r="M253" s="102" t="s">
        <v>108</v>
      </c>
      <c r="N253" s="579" t="s">
        <v>15</v>
      </c>
      <c r="O253" s="580"/>
      <c r="P253" s="101" t="s">
        <v>0</v>
      </c>
      <c r="Q253" s="101" t="s">
        <v>1</v>
      </c>
    </row>
    <row r="254" spans="1:27" ht="18.75" customHeight="1" x14ac:dyDescent="0.25">
      <c r="A254" s="120"/>
      <c r="B254" s="99"/>
      <c r="C254" s="99"/>
      <c r="D254" s="99"/>
      <c r="E254" s="118"/>
      <c r="F254" s="12"/>
      <c r="G254" s="169"/>
      <c r="H254" s="18">
        <f>SUM(H245:H253)</f>
        <v>0</v>
      </c>
      <c r="J254" s="90" t="s">
        <v>49</v>
      </c>
      <c r="K254" s="91">
        <v>20</v>
      </c>
      <c r="L254" s="92">
        <v>1</v>
      </c>
      <c r="M254" s="92">
        <f>K254*L254</f>
        <v>20</v>
      </c>
      <c r="N254" s="39">
        <f>M254*$C$26/1000</f>
        <v>2</v>
      </c>
      <c r="O254" s="14" t="s">
        <v>25</v>
      </c>
      <c r="P254" s="106"/>
      <c r="Q254" s="170">
        <f>M254*P254/1000</f>
        <v>0</v>
      </c>
    </row>
    <row r="255" spans="1:27" ht="15.75" thickBot="1" x14ac:dyDescent="0.3">
      <c r="J255" s="90" t="s">
        <v>5</v>
      </c>
      <c r="K255" s="96">
        <v>0.5</v>
      </c>
      <c r="L255" s="92">
        <v>1</v>
      </c>
      <c r="M255" s="92">
        <f>K255*L255</f>
        <v>0.5</v>
      </c>
      <c r="N255" s="39">
        <f>M255*$C$26/1000</f>
        <v>0.05</v>
      </c>
      <c r="O255" s="14" t="s">
        <v>25</v>
      </c>
      <c r="P255" s="106"/>
      <c r="Q255" s="170">
        <f t="shared" ref="Q255:Q257" si="46">M255*P255/1000</f>
        <v>0</v>
      </c>
    </row>
    <row r="256" spans="1:27" ht="15.75" thickBot="1" x14ac:dyDescent="0.3">
      <c r="A256" s="566" t="s">
        <v>69</v>
      </c>
      <c r="B256" s="567"/>
      <c r="C256" s="567"/>
      <c r="D256" s="567"/>
      <c r="E256" s="567"/>
      <c r="F256" s="567"/>
      <c r="G256" s="567"/>
      <c r="H256" s="568"/>
      <c r="J256" s="90" t="s">
        <v>3</v>
      </c>
      <c r="K256" s="91">
        <v>0.5</v>
      </c>
      <c r="L256" s="92">
        <v>1.18</v>
      </c>
      <c r="M256" s="111">
        <f>K256*L256</f>
        <v>0.59</v>
      </c>
      <c r="N256" s="39">
        <f>M256*$C$26/1000</f>
        <v>5.8999999999999997E-2</v>
      </c>
      <c r="O256" s="14" t="s">
        <v>25</v>
      </c>
      <c r="P256" s="106"/>
      <c r="Q256" s="170">
        <f t="shared" si="46"/>
        <v>0</v>
      </c>
    </row>
    <row r="257" spans="1:27" ht="25.5" x14ac:dyDescent="0.25">
      <c r="A257" s="101" t="s">
        <v>13</v>
      </c>
      <c r="B257" s="102" t="s">
        <v>45</v>
      </c>
      <c r="C257" s="102" t="s">
        <v>107</v>
      </c>
      <c r="D257" s="102" t="s">
        <v>108</v>
      </c>
      <c r="E257" s="569" t="s">
        <v>15</v>
      </c>
      <c r="F257" s="570"/>
      <c r="G257" s="101" t="s">
        <v>0</v>
      </c>
      <c r="H257" s="101" t="s">
        <v>1</v>
      </c>
      <c r="J257" s="90" t="s">
        <v>2</v>
      </c>
      <c r="K257" s="446">
        <v>4</v>
      </c>
      <c r="L257" s="92">
        <v>1.08</v>
      </c>
      <c r="M257" s="111">
        <f>K257*L257</f>
        <v>4.32</v>
      </c>
      <c r="N257" s="39">
        <f>M257*$C$26/1000</f>
        <v>0.432</v>
      </c>
      <c r="O257" s="14" t="s">
        <v>25</v>
      </c>
      <c r="P257" s="106"/>
      <c r="Q257" s="170">
        <f t="shared" si="46"/>
        <v>0</v>
      </c>
    </row>
    <row r="258" spans="1:27" x14ac:dyDescent="0.25">
      <c r="A258" s="104" t="s">
        <v>69</v>
      </c>
      <c r="B258" s="96">
        <v>60</v>
      </c>
      <c r="C258" s="113">
        <v>1.56</v>
      </c>
      <c r="D258" s="113">
        <f>B258*C258</f>
        <v>93.600000000000009</v>
      </c>
      <c r="E258" s="39">
        <f>D258*$C$26/1000</f>
        <v>9.36</v>
      </c>
      <c r="F258" s="91" t="s">
        <v>25</v>
      </c>
      <c r="G258" s="171"/>
      <c r="H258" s="171">
        <f>D258*G258/1000</f>
        <v>0</v>
      </c>
      <c r="J258" s="90" t="s">
        <v>127</v>
      </c>
      <c r="K258" s="96">
        <v>2</v>
      </c>
      <c r="L258" s="92">
        <v>1</v>
      </c>
      <c r="M258" s="92">
        <f>K258*L258</f>
        <v>2</v>
      </c>
      <c r="N258" s="39">
        <f>M258*$C$26/900</f>
        <v>0.22222222222222221</v>
      </c>
      <c r="O258" s="14" t="s">
        <v>40</v>
      </c>
      <c r="P258" s="106"/>
      <c r="Q258" s="170">
        <f>M258*P258/900</f>
        <v>0</v>
      </c>
    </row>
    <row r="259" spans="1:27" ht="15" customHeight="1" x14ac:dyDescent="0.25">
      <c r="A259" s="120"/>
      <c r="B259" s="121"/>
      <c r="C259" s="121"/>
      <c r="D259" s="121"/>
      <c r="E259" s="118"/>
      <c r="F259" s="12"/>
      <c r="H259" s="172">
        <f>SUM(H258)</f>
        <v>0</v>
      </c>
      <c r="I259" s="100"/>
      <c r="J259" s="126"/>
      <c r="K259" s="152"/>
      <c r="L259" s="115"/>
      <c r="M259" s="115"/>
      <c r="N259" s="173"/>
      <c r="O259" s="118"/>
      <c r="P259" s="122"/>
      <c r="Q259" s="47">
        <f>SUM(Q254:Q258)</f>
        <v>0</v>
      </c>
    </row>
    <row r="260" spans="1:27" ht="15" customHeight="1" x14ac:dyDescent="0.25">
      <c r="Z260" s="289"/>
    </row>
    <row r="261" spans="1:27" s="123" customFormat="1" x14ac:dyDescent="0.25">
      <c r="A261" s="577" t="s">
        <v>62</v>
      </c>
      <c r="B261" s="577"/>
      <c r="C261" s="577"/>
      <c r="D261" s="577"/>
      <c r="E261" s="577"/>
      <c r="F261" s="577"/>
      <c r="G261" s="577"/>
      <c r="H261" s="577"/>
      <c r="I261" s="577"/>
      <c r="J261" s="577"/>
      <c r="K261" s="577"/>
      <c r="L261" s="577"/>
      <c r="M261" s="577"/>
      <c r="N261" s="577"/>
      <c r="O261" s="577"/>
      <c r="P261" s="577"/>
      <c r="Q261" s="577"/>
      <c r="R261" s="577"/>
      <c r="S261" s="577"/>
      <c r="T261" s="577"/>
      <c r="U261" s="577"/>
      <c r="V261" s="577"/>
      <c r="W261" s="577"/>
      <c r="X261" s="577"/>
      <c r="Y261" s="577"/>
      <c r="Z261" s="577"/>
      <c r="AA261" s="577"/>
    </row>
    <row r="262" spans="1:27" s="124" customFormat="1" ht="15.75" thickBot="1" x14ac:dyDescent="0.3">
      <c r="A262" s="100"/>
      <c r="B262" s="100"/>
      <c r="C262" s="100"/>
      <c r="D262" s="100"/>
      <c r="E262" s="100"/>
      <c r="F262" s="100"/>
      <c r="G262" s="100"/>
      <c r="H262" s="100"/>
      <c r="I262" s="79"/>
      <c r="J262" s="165"/>
      <c r="K262" s="165"/>
      <c r="L262" s="165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85"/>
      <c r="AA262" s="165"/>
    </row>
    <row r="263" spans="1:27" s="116" customFormat="1" ht="15.75" thickBot="1" x14ac:dyDescent="0.3">
      <c r="A263" s="566" t="s">
        <v>101</v>
      </c>
      <c r="B263" s="567"/>
      <c r="C263" s="567"/>
      <c r="D263" s="567"/>
      <c r="E263" s="567"/>
      <c r="F263" s="567"/>
      <c r="G263" s="567"/>
      <c r="H263" s="568"/>
      <c r="I263" s="123"/>
      <c r="J263" s="566" t="s">
        <v>154</v>
      </c>
      <c r="K263" s="567"/>
      <c r="L263" s="567"/>
      <c r="M263" s="567"/>
      <c r="N263" s="567"/>
      <c r="O263" s="567"/>
      <c r="P263" s="567"/>
      <c r="Q263" s="568"/>
      <c r="R263" s="79"/>
      <c r="S263" s="79"/>
      <c r="T263" s="79"/>
      <c r="U263" s="79"/>
      <c r="V263" s="79"/>
      <c r="W263" s="79"/>
      <c r="X263" s="79"/>
      <c r="Y263" s="79"/>
      <c r="Z263" s="100"/>
      <c r="AA263" s="100"/>
    </row>
    <row r="264" spans="1:27" s="116" customFormat="1" ht="25.5" x14ac:dyDescent="0.25">
      <c r="A264" s="101" t="s">
        <v>13</v>
      </c>
      <c r="B264" s="102" t="s">
        <v>45</v>
      </c>
      <c r="C264" s="102" t="s">
        <v>107</v>
      </c>
      <c r="D264" s="102" t="s">
        <v>108</v>
      </c>
      <c r="E264" s="569" t="s">
        <v>15</v>
      </c>
      <c r="F264" s="570"/>
      <c r="G264" s="101" t="s">
        <v>0</v>
      </c>
      <c r="H264" s="101" t="s">
        <v>1</v>
      </c>
      <c r="I264" s="100"/>
      <c r="J264" s="101" t="s">
        <v>13</v>
      </c>
      <c r="K264" s="102" t="s">
        <v>45</v>
      </c>
      <c r="L264" s="102" t="s">
        <v>107</v>
      </c>
      <c r="M264" s="102" t="s">
        <v>108</v>
      </c>
      <c r="N264" s="579" t="s">
        <v>15</v>
      </c>
      <c r="O264" s="580"/>
      <c r="P264" s="101" t="s">
        <v>0</v>
      </c>
      <c r="Q264" s="101" t="s">
        <v>1</v>
      </c>
      <c r="R264" s="79"/>
      <c r="S264" s="79"/>
      <c r="T264" s="79"/>
      <c r="U264" s="79"/>
      <c r="V264" s="79"/>
      <c r="W264" s="79"/>
      <c r="X264" s="79"/>
      <c r="Y264" s="79"/>
      <c r="Z264" s="100"/>
      <c r="AA264" s="79"/>
    </row>
    <row r="265" spans="1:27" x14ac:dyDescent="0.25">
      <c r="A265" s="90" t="s">
        <v>55</v>
      </c>
      <c r="B265" s="92">
        <v>35</v>
      </c>
      <c r="C265" s="92">
        <v>1</v>
      </c>
      <c r="D265" s="92">
        <f>B265*C265</f>
        <v>35</v>
      </c>
      <c r="E265" s="39">
        <f>D265*$C$26/500</f>
        <v>7</v>
      </c>
      <c r="F265" s="14" t="s">
        <v>56</v>
      </c>
      <c r="G265" s="94"/>
      <c r="H265" s="95">
        <f>D265*G265/500</f>
        <v>0</v>
      </c>
      <c r="I265" s="165"/>
      <c r="J265" s="8" t="s">
        <v>29</v>
      </c>
      <c r="K265" s="92">
        <v>40</v>
      </c>
      <c r="L265" s="92">
        <v>1</v>
      </c>
      <c r="M265" s="92">
        <f>K265*L265</f>
        <v>40</v>
      </c>
      <c r="N265" s="39">
        <f>M265*$C$26/1000</f>
        <v>4</v>
      </c>
      <c r="O265" s="14" t="s">
        <v>25</v>
      </c>
      <c r="P265" s="420"/>
      <c r="Q265" s="15">
        <f>M265*P265/1000</f>
        <v>0</v>
      </c>
      <c r="R265" s="123"/>
      <c r="T265" s="85"/>
      <c r="U265" s="85"/>
      <c r="V265" s="85"/>
      <c r="W265" s="85"/>
      <c r="X265" s="85"/>
      <c r="Y265" s="85"/>
      <c r="Z265" s="165"/>
    </row>
    <row r="266" spans="1:27" x14ac:dyDescent="0.25">
      <c r="A266" s="90" t="s">
        <v>57</v>
      </c>
      <c r="B266" s="113">
        <v>0.5</v>
      </c>
      <c r="C266" s="113">
        <v>1</v>
      </c>
      <c r="D266" s="92">
        <f t="shared" ref="D266:D268" si="47">B266*C266</f>
        <v>0.5</v>
      </c>
      <c r="E266" s="39">
        <f>D266*$C$26/1000</f>
        <v>0.05</v>
      </c>
      <c r="F266" s="14" t="s">
        <v>25</v>
      </c>
      <c r="G266" s="94"/>
      <c r="H266" s="95">
        <f>D266*G266/1000</f>
        <v>0</v>
      </c>
      <c r="I266" s="100"/>
      <c r="J266" s="8" t="s">
        <v>28</v>
      </c>
      <c r="K266" s="92">
        <v>15</v>
      </c>
      <c r="L266" s="92">
        <v>1</v>
      </c>
      <c r="M266" s="92">
        <f>K266*L266</f>
        <v>15</v>
      </c>
      <c r="N266" s="39">
        <f>M266*$C$26/1000</f>
        <v>1.5</v>
      </c>
      <c r="O266" s="14" t="s">
        <v>25</v>
      </c>
      <c r="P266" s="108"/>
      <c r="Q266" s="15">
        <f>M266*P266/1000</f>
        <v>0</v>
      </c>
      <c r="R266" s="100"/>
      <c r="S266" s="85"/>
      <c r="T266" s="100"/>
      <c r="U266" s="100"/>
      <c r="V266" s="100"/>
      <c r="W266" s="100"/>
      <c r="X266" s="100"/>
      <c r="Y266" s="100"/>
      <c r="Z266" s="165"/>
    </row>
    <row r="267" spans="1:27" x14ac:dyDescent="0.25">
      <c r="A267" s="90" t="s">
        <v>54</v>
      </c>
      <c r="B267" s="92">
        <v>2</v>
      </c>
      <c r="C267" s="92">
        <v>1</v>
      </c>
      <c r="D267" s="92">
        <f t="shared" si="47"/>
        <v>2</v>
      </c>
      <c r="E267" s="39">
        <f>D267*$C$26/500</f>
        <v>0.4</v>
      </c>
      <c r="F267" s="14" t="s">
        <v>56</v>
      </c>
      <c r="G267" s="94"/>
      <c r="H267" s="95">
        <f t="shared" ref="H267" si="48">D267*G267/500</f>
        <v>0</v>
      </c>
      <c r="I267" s="45"/>
      <c r="Q267" s="47">
        <f>SUM(Q265:Q266)</f>
        <v>0</v>
      </c>
      <c r="R267" s="100"/>
      <c r="S267" s="100"/>
      <c r="T267" s="100"/>
      <c r="U267" s="100"/>
      <c r="V267" s="100"/>
      <c r="W267" s="100"/>
      <c r="X267" s="100"/>
      <c r="Y267" s="100"/>
    </row>
    <row r="268" spans="1:27" x14ac:dyDescent="0.25">
      <c r="A268" s="8" t="s">
        <v>58</v>
      </c>
      <c r="B268" s="113">
        <v>25</v>
      </c>
      <c r="C268" s="113">
        <v>1.1299999999999999</v>
      </c>
      <c r="D268" s="111">
        <f t="shared" si="47"/>
        <v>28.249999999999996</v>
      </c>
      <c r="E268" s="39">
        <f>D268*$C$26/1500</f>
        <v>1.8833333333333331</v>
      </c>
      <c r="F268" s="14" t="s">
        <v>155</v>
      </c>
      <c r="G268" s="419"/>
      <c r="H268" s="95">
        <f>D268*G268/1500</f>
        <v>0</v>
      </c>
      <c r="I268" s="45"/>
      <c r="J268" s="346"/>
      <c r="K268" s="346"/>
      <c r="L268" s="346"/>
      <c r="R268" s="100"/>
      <c r="S268" s="100"/>
      <c r="T268" s="165"/>
      <c r="U268" s="165"/>
      <c r="V268" s="165"/>
      <c r="W268" s="165"/>
      <c r="X268" s="165"/>
      <c r="Y268" s="165"/>
    </row>
    <row r="269" spans="1:27" x14ac:dyDescent="0.25">
      <c r="H269" s="9">
        <f>SUM(H265:H268)</f>
        <v>0</v>
      </c>
      <c r="I269" s="45"/>
      <c r="M269" s="346"/>
      <c r="N269" s="346"/>
      <c r="O269" s="346"/>
      <c r="P269" s="346"/>
      <c r="Q269" s="346"/>
      <c r="S269" s="165"/>
      <c r="T269" s="165"/>
      <c r="U269" s="165"/>
      <c r="V269" s="165"/>
      <c r="W269" s="165"/>
      <c r="X269" s="165"/>
      <c r="Y269" s="165"/>
    </row>
    <row r="270" spans="1:27" ht="18.75" x14ac:dyDescent="0.25">
      <c r="I270" s="45"/>
      <c r="J270" s="123"/>
      <c r="K270" s="123"/>
      <c r="L270" s="123"/>
      <c r="R270" s="176"/>
      <c r="S270" s="165"/>
    </row>
    <row r="271" spans="1:27" ht="15.75" thickBot="1" x14ac:dyDescent="0.3">
      <c r="I271" s="291"/>
      <c r="J271" s="123"/>
      <c r="K271" s="123"/>
      <c r="L271" s="123"/>
      <c r="M271" s="123"/>
      <c r="N271" s="123"/>
      <c r="O271" s="123"/>
    </row>
    <row r="272" spans="1:27" ht="19.5" thickBot="1" x14ac:dyDescent="0.3">
      <c r="J272" s="123"/>
      <c r="K272" s="123"/>
      <c r="L272" s="123"/>
      <c r="M272" s="123"/>
      <c r="N272" s="123"/>
      <c r="O272" s="572" t="s">
        <v>103</v>
      </c>
      <c r="P272" s="573"/>
      <c r="Q272" s="174">
        <f>SUM(H239,Q237,H254,Q250,H259,Q259,H269,Q267)</f>
        <v>0</v>
      </c>
    </row>
    <row r="273" spans="7:27" ht="18.75" thickBot="1" x14ac:dyDescent="0.3">
      <c r="J273" s="290"/>
      <c r="K273" s="290"/>
      <c r="L273" s="290"/>
      <c r="M273" s="123"/>
      <c r="N273" s="290"/>
      <c r="O273" s="175"/>
    </row>
    <row r="274" spans="7:27" ht="21" thickBot="1" x14ac:dyDescent="0.3">
      <c r="J274" s="123"/>
      <c r="K274" s="123"/>
      <c r="L274" s="123"/>
      <c r="M274" s="290"/>
      <c r="N274" s="177"/>
      <c r="O274" s="572" t="s">
        <v>97</v>
      </c>
      <c r="P274" s="573"/>
      <c r="Q274" s="174">
        <f>SUM(R72,R124,R173,N228,Q272)/5</f>
        <v>0</v>
      </c>
    </row>
    <row r="275" spans="7:27" s="85" customFormat="1" x14ac:dyDescent="0.25">
      <c r="I275" s="79"/>
      <c r="J275" s="178"/>
      <c r="K275" s="178"/>
      <c r="L275" s="178"/>
      <c r="M275" s="123"/>
      <c r="N275" s="123"/>
      <c r="O275" s="123"/>
      <c r="R275" s="79"/>
      <c r="S275" s="79"/>
      <c r="T275" s="79"/>
      <c r="U275" s="79"/>
      <c r="V275" s="79"/>
      <c r="W275" s="79"/>
      <c r="X275" s="79"/>
      <c r="Y275" s="79"/>
      <c r="Z275" s="79"/>
      <c r="AA275" s="79"/>
    </row>
    <row r="276" spans="7:27" s="85" customFormat="1" x14ac:dyDescent="0.25"/>
    <row r="277" spans="7:27" s="85" customFormat="1" x14ac:dyDescent="0.25">
      <c r="G277" s="478"/>
      <c r="H277" s="478"/>
    </row>
    <row r="278" spans="7:27" s="85" customFormat="1" x14ac:dyDescent="0.25"/>
    <row r="279" spans="7:27" s="85" customFormat="1" x14ac:dyDescent="0.25"/>
    <row r="280" spans="7:27" s="85" customFormat="1" x14ac:dyDescent="0.25"/>
    <row r="281" spans="7:27" s="85" customFormat="1" x14ac:dyDescent="0.25"/>
    <row r="282" spans="7:27" s="85" customFormat="1" x14ac:dyDescent="0.25"/>
    <row r="283" spans="7:27" s="85" customFormat="1" x14ac:dyDescent="0.25"/>
    <row r="284" spans="7:27" s="85" customFormat="1" x14ac:dyDescent="0.25"/>
    <row r="285" spans="7:27" s="85" customFormat="1" x14ac:dyDescent="0.25"/>
    <row r="286" spans="7:27" s="85" customFormat="1" x14ac:dyDescent="0.25"/>
    <row r="291" spans="10:19" x14ac:dyDescent="0.25">
      <c r="J291" s="156"/>
      <c r="K291" s="156"/>
      <c r="L291" s="156"/>
      <c r="M291" s="156"/>
      <c r="N291" s="179"/>
      <c r="S291" s="85"/>
    </row>
  </sheetData>
  <mergeCells count="116">
    <mergeCell ref="A263:H263"/>
    <mergeCell ref="J263:Q263"/>
    <mergeCell ref="E264:F264"/>
    <mergeCell ref="N264:O264"/>
    <mergeCell ref="A241:AA241"/>
    <mergeCell ref="O272:P272"/>
    <mergeCell ref="O274:P274"/>
    <mergeCell ref="A243:H243"/>
    <mergeCell ref="J243:Q243"/>
    <mergeCell ref="E244:F244"/>
    <mergeCell ref="N244:O244"/>
    <mergeCell ref="J252:Q252"/>
    <mergeCell ref="N253:O253"/>
    <mergeCell ref="A256:H256"/>
    <mergeCell ref="E257:F257"/>
    <mergeCell ref="A261:AA261"/>
    <mergeCell ref="R220:R221"/>
    <mergeCell ref="W221:Z221"/>
    <mergeCell ref="L228:M228"/>
    <mergeCell ref="A230:AA230"/>
    <mergeCell ref="A232:AA232"/>
    <mergeCell ref="J233:L233"/>
    <mergeCell ref="A234:H234"/>
    <mergeCell ref="E235:F235"/>
    <mergeCell ref="J234:Q234"/>
    <mergeCell ref="N235:O235"/>
    <mergeCell ref="E189:F189"/>
    <mergeCell ref="J197:Q197"/>
    <mergeCell ref="N198:O198"/>
    <mergeCell ref="A204:H204"/>
    <mergeCell ref="E205:F205"/>
    <mergeCell ref="A210:AA210"/>
    <mergeCell ref="A186:AA186"/>
    <mergeCell ref="A212:H212"/>
    <mergeCell ref="E213:F213"/>
    <mergeCell ref="J188:Q188"/>
    <mergeCell ref="N189:O189"/>
    <mergeCell ref="P173:Q173"/>
    <mergeCell ref="R173:S173"/>
    <mergeCell ref="A176:AA176"/>
    <mergeCell ref="A178:AA178"/>
    <mergeCell ref="A180:H180"/>
    <mergeCell ref="J180:Q180"/>
    <mergeCell ref="E181:F181"/>
    <mergeCell ref="N181:O181"/>
    <mergeCell ref="A188:H188"/>
    <mergeCell ref="A160:AA160"/>
    <mergeCell ref="R161:R162"/>
    <mergeCell ref="A162:H162"/>
    <mergeCell ref="J162:Q162"/>
    <mergeCell ref="T162:W162"/>
    <mergeCell ref="E163:F163"/>
    <mergeCell ref="N163:O163"/>
    <mergeCell ref="S163:S164"/>
    <mergeCell ref="I164:I165"/>
    <mergeCell ref="A132:AA132"/>
    <mergeCell ref="A134:H134"/>
    <mergeCell ref="E135:F135"/>
    <mergeCell ref="J136:L136"/>
    <mergeCell ref="A142:AA142"/>
    <mergeCell ref="A144:H144"/>
    <mergeCell ref="J144:Q144"/>
    <mergeCell ref="T144:AA144"/>
    <mergeCell ref="E145:F145"/>
    <mergeCell ref="N145:O145"/>
    <mergeCell ref="X145:Y145"/>
    <mergeCell ref="N93:O93"/>
    <mergeCell ref="J92:Q92"/>
    <mergeCell ref="R114:R115"/>
    <mergeCell ref="J117:L117"/>
    <mergeCell ref="J118:L118"/>
    <mergeCell ref="P124:Q124"/>
    <mergeCell ref="R124:S124"/>
    <mergeCell ref="P125:Q125"/>
    <mergeCell ref="A130:AA130"/>
    <mergeCell ref="J102:Q102"/>
    <mergeCell ref="N103:O103"/>
    <mergeCell ref="J52:Q52"/>
    <mergeCell ref="N53:O53"/>
    <mergeCell ref="A59:AA59"/>
    <mergeCell ref="P17:R17"/>
    <mergeCell ref="A29:AA29"/>
    <mergeCell ref="A31:AA31"/>
    <mergeCell ref="A33:H33"/>
    <mergeCell ref="E34:F34"/>
    <mergeCell ref="A41:AA41"/>
    <mergeCell ref="A43:H43"/>
    <mergeCell ref="J43:Q43"/>
    <mergeCell ref="S43:Z43"/>
    <mergeCell ref="E44:F44"/>
    <mergeCell ref="N44:O44"/>
    <mergeCell ref="W44:X44"/>
    <mergeCell ref="A61:H61"/>
    <mergeCell ref="E62:F62"/>
    <mergeCell ref="A112:H112"/>
    <mergeCell ref="E113:F113"/>
    <mergeCell ref="N60:O60"/>
    <mergeCell ref="J66:Q66"/>
    <mergeCell ref="N72:O72"/>
    <mergeCell ref="P72:Q72"/>
    <mergeCell ref="R72:S72"/>
    <mergeCell ref="A79:AA79"/>
    <mergeCell ref="A82:H82"/>
    <mergeCell ref="A81:AA81"/>
    <mergeCell ref="A90:AA90"/>
    <mergeCell ref="T91:AA91"/>
    <mergeCell ref="X92:Y92"/>
    <mergeCell ref="A110:AA110"/>
    <mergeCell ref="E84:F84"/>
    <mergeCell ref="A92:H92"/>
    <mergeCell ref="E93:F93"/>
    <mergeCell ref="A83:H83"/>
    <mergeCell ref="J61:Q61"/>
    <mergeCell ref="N62:O62"/>
    <mergeCell ref="A102:H102"/>
    <mergeCell ref="E103:F103"/>
  </mergeCells>
  <pageMargins left="0.25" right="0.25" top="0.75" bottom="0.75" header="0.3" footer="0.3"/>
  <pageSetup paperSize="9" scale="54" orientation="landscape" r:id="rId1"/>
  <rowBreaks count="2" manualBreakCount="2">
    <brk id="98" max="16383" man="1"/>
    <brk id="24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7"/>
  <sheetViews>
    <sheetView view="pageBreakPreview" topLeftCell="A176" zoomScale="80" zoomScaleSheetLayoutView="80" workbookViewId="0">
      <selection activeCell="G184" sqref="G184"/>
    </sheetView>
  </sheetViews>
  <sheetFormatPr defaultRowHeight="15" x14ac:dyDescent="0.25"/>
  <cols>
    <col min="1" max="1" width="21.85546875" style="79" customWidth="1"/>
    <col min="2" max="2" width="13.140625" style="79" bestFit="1" customWidth="1"/>
    <col min="3" max="4" width="9.140625" style="79"/>
    <col min="5" max="5" width="7.85546875" style="79" customWidth="1"/>
    <col min="6" max="6" width="10.28515625" style="79" customWidth="1"/>
    <col min="7" max="7" width="12.42578125" style="79" customWidth="1"/>
    <col min="8" max="8" width="12.28515625" style="79" customWidth="1"/>
    <col min="9" max="9" width="4.42578125" style="79" customWidth="1"/>
    <col min="10" max="11" width="15.42578125" style="79" customWidth="1"/>
    <col min="12" max="12" width="9.140625" style="79" customWidth="1"/>
    <col min="13" max="13" width="10.42578125" style="79" customWidth="1"/>
    <col min="14" max="14" width="13.28515625" style="79" bestFit="1" customWidth="1"/>
    <col min="15" max="15" width="12" style="79" customWidth="1"/>
    <col min="16" max="16" width="14.5703125" style="79" customWidth="1"/>
    <col min="17" max="17" width="16.140625" style="79" customWidth="1"/>
    <col min="18" max="18" width="2.85546875" style="79" customWidth="1"/>
    <col min="19" max="19" width="13.85546875" style="79" customWidth="1"/>
    <col min="20" max="20" width="15.42578125" style="79" customWidth="1"/>
    <col min="21" max="22" width="11.28515625" style="79" customWidth="1"/>
    <col min="23" max="23" width="9.140625" style="79"/>
    <col min="24" max="24" width="7.7109375" style="79" customWidth="1"/>
    <col min="25" max="25" width="11" style="79" customWidth="1"/>
    <col min="26" max="26" width="10.5703125" style="79" customWidth="1"/>
    <col min="27" max="27" width="13.5703125" style="79" bestFit="1" customWidth="1"/>
    <col min="28" max="16384" width="9.140625" style="79"/>
  </cols>
  <sheetData>
    <row r="1" spans="3:26" ht="21.75" x14ac:dyDescent="0.25">
      <c r="C1" s="80"/>
    </row>
    <row r="2" spans="3:26" ht="21.75" x14ac:dyDescent="0.25">
      <c r="C2" s="80"/>
    </row>
    <row r="3" spans="3:26" ht="21.75" x14ac:dyDescent="0.25">
      <c r="C3" s="80"/>
    </row>
    <row r="4" spans="3:26" ht="21.75" x14ac:dyDescent="0.25">
      <c r="C4" s="80"/>
    </row>
    <row r="5" spans="3:26" ht="21.75" x14ac:dyDescent="0.25">
      <c r="C5" s="80"/>
    </row>
    <row r="6" spans="3:26" ht="21.75" x14ac:dyDescent="0.25">
      <c r="C6" s="80"/>
    </row>
    <row r="7" spans="3:26" ht="21.75" x14ac:dyDescent="0.25">
      <c r="C7" s="80"/>
    </row>
    <row r="8" spans="3:26" ht="21.75" x14ac:dyDescent="0.25">
      <c r="C8" s="80"/>
    </row>
    <row r="9" spans="3:26" ht="21.75" x14ac:dyDescent="0.25">
      <c r="C9" s="80"/>
    </row>
    <row r="10" spans="3:26" ht="21.75" x14ac:dyDescent="0.25">
      <c r="C10" s="80"/>
    </row>
    <row r="11" spans="3:26" ht="21.75" x14ac:dyDescent="0.25">
      <c r="C11" s="80"/>
    </row>
    <row r="14" spans="3:26" ht="18.75" x14ac:dyDescent="0.25">
      <c r="N14" s="81"/>
    </row>
    <row r="15" spans="3:26" ht="51.75" customHeight="1" x14ac:dyDescent="0.25">
      <c r="S15" s="82"/>
      <c r="T15" s="82"/>
      <c r="U15" s="82"/>
      <c r="V15" s="82"/>
      <c r="W15" s="82"/>
      <c r="X15" s="82"/>
      <c r="Y15" s="82"/>
      <c r="Z15" s="82"/>
    </row>
    <row r="16" spans="3:26" ht="51.75" customHeight="1" x14ac:dyDescent="0.25">
      <c r="S16" s="82"/>
      <c r="T16" s="82"/>
      <c r="U16" s="82"/>
      <c r="V16" s="82"/>
      <c r="W16" s="82"/>
      <c r="X16" s="82"/>
      <c r="Y16" s="82"/>
      <c r="Z16" s="82"/>
    </row>
    <row r="17" spans="1:27" x14ac:dyDescent="0.25">
      <c r="P17" s="581"/>
      <c r="Q17" s="581"/>
      <c r="R17" s="581"/>
      <c r="S17" s="82"/>
      <c r="T17" s="82"/>
      <c r="U17" s="82"/>
      <c r="V17" s="82"/>
      <c r="W17" s="82"/>
      <c r="X17" s="82"/>
      <c r="Y17" s="82"/>
      <c r="Z17" s="82"/>
    </row>
    <row r="18" spans="1:27" x14ac:dyDescent="0.25">
      <c r="S18" s="82"/>
    </row>
    <row r="19" spans="1:27" x14ac:dyDescent="0.25">
      <c r="S19" s="82"/>
    </row>
    <row r="20" spans="1:27" x14ac:dyDescent="0.25">
      <c r="S20" s="82"/>
    </row>
    <row r="21" spans="1:27" ht="17.25" customHeight="1" x14ac:dyDescent="0.25">
      <c r="S21" s="82"/>
    </row>
    <row r="23" spans="1:27" ht="18" customHeight="1" x14ac:dyDescent="0.25"/>
    <row r="26" spans="1:27" ht="21" x14ac:dyDescent="0.25">
      <c r="B26" s="506" t="s">
        <v>79</v>
      </c>
      <c r="C26" s="512">
        <v>100</v>
      </c>
    </row>
    <row r="29" spans="1:27" ht="25.5" x14ac:dyDescent="0.25">
      <c r="A29" s="576" t="s">
        <v>23</v>
      </c>
      <c r="B29" s="576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6"/>
      <c r="AA29" s="576"/>
    </row>
    <row r="30" spans="1:27" x14ac:dyDescent="0.25">
      <c r="A30" s="83"/>
      <c r="B30" s="83"/>
      <c r="C30" s="83"/>
      <c r="D30" s="83"/>
      <c r="E30" s="83"/>
      <c r="F30" s="83"/>
    </row>
    <row r="31" spans="1:27" x14ac:dyDescent="0.25">
      <c r="A31" s="577" t="s">
        <v>59</v>
      </c>
      <c r="B31" s="577"/>
      <c r="C31" s="577"/>
      <c r="D31" s="577"/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7"/>
      <c r="W31" s="577"/>
      <c r="X31" s="577"/>
      <c r="Y31" s="577"/>
      <c r="Z31" s="577"/>
      <c r="AA31" s="577"/>
    </row>
    <row r="32" spans="1:27" s="85" customFormat="1" x14ac:dyDescent="0.25">
      <c r="A32" s="452"/>
      <c r="B32" s="452"/>
      <c r="C32" s="452"/>
      <c r="D32" s="452"/>
      <c r="E32" s="452"/>
      <c r="F32" s="452"/>
      <c r="G32" s="452"/>
      <c r="H32" s="452"/>
      <c r="I32" s="452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x14ac:dyDescent="0.25">
      <c r="A33" s="582" t="s">
        <v>101</v>
      </c>
      <c r="B33" s="583"/>
      <c r="C33" s="583"/>
      <c r="D33" s="583"/>
      <c r="E33" s="583"/>
      <c r="F33" s="583"/>
      <c r="G33" s="583"/>
      <c r="H33" s="584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25.5" x14ac:dyDescent="0.25">
      <c r="A34" s="86" t="s">
        <v>13</v>
      </c>
      <c r="B34" s="87" t="s">
        <v>45</v>
      </c>
      <c r="C34" s="88" t="s">
        <v>107</v>
      </c>
      <c r="D34" s="88" t="s">
        <v>108</v>
      </c>
      <c r="E34" s="585" t="s">
        <v>15</v>
      </c>
      <c r="F34" s="586"/>
      <c r="G34" s="86" t="s">
        <v>0</v>
      </c>
      <c r="H34" s="86" t="s">
        <v>1</v>
      </c>
      <c r="I34" s="89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27" x14ac:dyDescent="0.25">
      <c r="A35" s="90" t="s">
        <v>55</v>
      </c>
      <c r="B35" s="92">
        <v>35</v>
      </c>
      <c r="C35" s="92">
        <v>1</v>
      </c>
      <c r="D35" s="92">
        <f>B35*C35</f>
        <v>35</v>
      </c>
      <c r="E35" s="93">
        <f>D35*$C$26/500</f>
        <v>7</v>
      </c>
      <c r="F35" s="14" t="s">
        <v>56</v>
      </c>
      <c r="G35" s="94"/>
      <c r="H35" s="95">
        <f>D35*G35/500</f>
        <v>0</v>
      </c>
      <c r="I35" s="457"/>
      <c r="R35" s="84"/>
      <c r="S35" s="84"/>
      <c r="T35" s="84"/>
      <c r="U35" s="84"/>
      <c r="V35" s="84"/>
      <c r="W35" s="84"/>
      <c r="X35" s="84"/>
      <c r="Y35" s="84"/>
      <c r="Z35" s="84"/>
      <c r="AA35" s="84"/>
    </row>
    <row r="36" spans="1:27" x14ac:dyDescent="0.25">
      <c r="A36" s="90" t="s">
        <v>57</v>
      </c>
      <c r="B36" s="113">
        <v>0.5</v>
      </c>
      <c r="C36" s="113">
        <v>1</v>
      </c>
      <c r="D36" s="92">
        <f t="shared" ref="D36:D38" si="0">B36*C36</f>
        <v>0.5</v>
      </c>
      <c r="E36" s="93">
        <f>D36*$C$26/1000</f>
        <v>0.05</v>
      </c>
      <c r="F36" s="14" t="s">
        <v>25</v>
      </c>
      <c r="G36" s="94"/>
      <c r="H36" s="95">
        <f>D36*G36/1000</f>
        <v>0</v>
      </c>
      <c r="I36" s="44"/>
      <c r="R36" s="84"/>
      <c r="S36" s="84"/>
      <c r="T36" s="84"/>
      <c r="U36" s="84"/>
      <c r="V36" s="84"/>
      <c r="W36" s="84"/>
      <c r="X36" s="84"/>
      <c r="Y36" s="84"/>
      <c r="Z36" s="84"/>
      <c r="AA36" s="84"/>
    </row>
    <row r="37" spans="1:27" x14ac:dyDescent="0.25">
      <c r="A37" s="90" t="s">
        <v>58</v>
      </c>
      <c r="B37" s="113">
        <v>25</v>
      </c>
      <c r="C37" s="113">
        <v>1.1299999999999999</v>
      </c>
      <c r="D37" s="92">
        <f t="shared" si="0"/>
        <v>28.249999999999996</v>
      </c>
      <c r="E37" s="93">
        <f>D37*$C$26/1500</f>
        <v>1.8833333333333331</v>
      </c>
      <c r="F37" s="57" t="s">
        <v>148</v>
      </c>
      <c r="G37" s="94"/>
      <c r="H37" s="95">
        <f>D37*G37/1500</f>
        <v>0</v>
      </c>
      <c r="I37" s="45"/>
      <c r="R37" s="84"/>
      <c r="S37" s="84"/>
      <c r="T37" s="84"/>
      <c r="U37" s="84"/>
      <c r="V37" s="84"/>
      <c r="W37" s="84"/>
      <c r="X37" s="84"/>
      <c r="Y37" s="84"/>
      <c r="Z37" s="84"/>
      <c r="AA37" s="84"/>
    </row>
    <row r="38" spans="1:27" x14ac:dyDescent="0.25">
      <c r="A38" s="90" t="s">
        <v>54</v>
      </c>
      <c r="B38" s="92">
        <v>4</v>
      </c>
      <c r="C38" s="92">
        <v>1</v>
      </c>
      <c r="D38" s="92">
        <f t="shared" si="0"/>
        <v>4</v>
      </c>
      <c r="E38" s="93">
        <f>D38*$C$26/500</f>
        <v>0.8</v>
      </c>
      <c r="F38" s="14" t="s">
        <v>56</v>
      </c>
      <c r="G38" s="94"/>
      <c r="H38" s="95">
        <f>D38*G38/500</f>
        <v>0</v>
      </c>
      <c r="R38" s="84"/>
      <c r="S38" s="84"/>
      <c r="T38" s="84"/>
      <c r="U38" s="84"/>
      <c r="V38" s="84"/>
      <c r="W38" s="84"/>
      <c r="X38" s="84"/>
      <c r="Y38" s="84"/>
      <c r="Z38" s="84"/>
      <c r="AA38" s="84"/>
    </row>
    <row r="39" spans="1:27" x14ac:dyDescent="0.25">
      <c r="A39" s="89"/>
      <c r="B39" s="89"/>
      <c r="C39" s="89"/>
      <c r="D39" s="89"/>
      <c r="E39" s="89"/>
      <c r="F39" s="89"/>
      <c r="G39" s="89"/>
      <c r="H39" s="9">
        <f>SUM(H35:H38)</f>
        <v>0</v>
      </c>
      <c r="R39" s="84"/>
      <c r="S39" s="84"/>
      <c r="T39" s="84"/>
      <c r="U39" s="84"/>
      <c r="V39" s="84"/>
      <c r="W39" s="84"/>
      <c r="X39" s="84"/>
      <c r="Y39" s="84"/>
      <c r="Z39" s="84"/>
      <c r="AA39" s="84"/>
    </row>
    <row r="40" spans="1:27" x14ac:dyDescent="0.25">
      <c r="A40" s="98"/>
      <c r="B40" s="99"/>
      <c r="C40" s="99"/>
      <c r="D40" s="99"/>
      <c r="E40" s="89"/>
      <c r="F40" s="89"/>
      <c r="H40" s="46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</row>
    <row r="41" spans="1:27" x14ac:dyDescent="0.25">
      <c r="A41" s="577" t="s">
        <v>60</v>
      </c>
      <c r="B41" s="577"/>
      <c r="C41" s="577"/>
      <c r="D41" s="577"/>
      <c r="E41" s="577"/>
      <c r="F41" s="577"/>
      <c r="G41" s="577"/>
      <c r="H41" s="577"/>
      <c r="I41" s="577"/>
      <c r="J41" s="577"/>
      <c r="K41" s="577"/>
      <c r="L41" s="577"/>
      <c r="M41" s="577"/>
      <c r="N41" s="577"/>
      <c r="O41" s="577"/>
      <c r="P41" s="577"/>
      <c r="Q41" s="577"/>
      <c r="R41" s="577"/>
      <c r="S41" s="577"/>
      <c r="T41" s="577"/>
      <c r="U41" s="577"/>
      <c r="V41" s="577"/>
      <c r="W41" s="577"/>
      <c r="X41" s="577"/>
      <c r="Y41" s="577"/>
      <c r="Z41" s="577"/>
      <c r="AA41" s="577"/>
    </row>
    <row r="42" spans="1:27" ht="15.75" thickBot="1" x14ac:dyDescent="0.3">
      <c r="B42" s="83"/>
      <c r="C42" s="83"/>
      <c r="D42" s="83"/>
      <c r="E42" s="83"/>
      <c r="F42" s="83"/>
    </row>
    <row r="43" spans="1:27" s="85" customFormat="1" ht="15.75" thickBot="1" x14ac:dyDescent="0.3">
      <c r="A43" s="582" t="s">
        <v>208</v>
      </c>
      <c r="B43" s="583"/>
      <c r="C43" s="583"/>
      <c r="D43" s="583"/>
      <c r="E43" s="583"/>
      <c r="F43" s="583"/>
      <c r="G43" s="583"/>
      <c r="H43" s="584"/>
      <c r="I43" s="100"/>
      <c r="J43" s="566" t="s">
        <v>61</v>
      </c>
      <c r="K43" s="567"/>
      <c r="L43" s="567"/>
      <c r="M43" s="567"/>
      <c r="N43" s="567"/>
      <c r="O43" s="567"/>
      <c r="P43" s="567"/>
      <c r="Q43" s="568"/>
      <c r="R43" s="79"/>
      <c r="S43" s="566" t="s">
        <v>104</v>
      </c>
      <c r="T43" s="567"/>
      <c r="U43" s="567"/>
      <c r="V43" s="567"/>
      <c r="W43" s="567"/>
      <c r="X43" s="567"/>
      <c r="Y43" s="567"/>
      <c r="Z43" s="568"/>
    </row>
    <row r="44" spans="1:27" s="85" customFormat="1" ht="25.5" x14ac:dyDescent="0.25">
      <c r="A44" s="101" t="s">
        <v>13</v>
      </c>
      <c r="B44" s="102" t="s">
        <v>45</v>
      </c>
      <c r="C44" s="103" t="s">
        <v>107</v>
      </c>
      <c r="D44" s="103" t="s">
        <v>108</v>
      </c>
      <c r="E44" s="585" t="s">
        <v>15</v>
      </c>
      <c r="F44" s="586"/>
      <c r="G44" s="101" t="s">
        <v>0</v>
      </c>
      <c r="H44" s="101" t="s">
        <v>1</v>
      </c>
      <c r="I44" s="79"/>
      <c r="J44" s="101" t="s">
        <v>13</v>
      </c>
      <c r="K44" s="102" t="s">
        <v>45</v>
      </c>
      <c r="L44" s="103" t="s">
        <v>107</v>
      </c>
      <c r="M44" s="103" t="s">
        <v>108</v>
      </c>
      <c r="N44" s="569" t="s">
        <v>15</v>
      </c>
      <c r="O44" s="570"/>
      <c r="P44" s="101" t="s">
        <v>0</v>
      </c>
      <c r="Q44" s="101" t="s">
        <v>1</v>
      </c>
      <c r="R44" s="79"/>
      <c r="S44" s="101" t="s">
        <v>13</v>
      </c>
      <c r="T44" s="102" t="s">
        <v>45</v>
      </c>
      <c r="U44" s="103" t="s">
        <v>107</v>
      </c>
      <c r="V44" s="103" t="s">
        <v>108</v>
      </c>
      <c r="W44" s="569" t="s">
        <v>15</v>
      </c>
      <c r="X44" s="570"/>
      <c r="Y44" s="101" t="s">
        <v>0</v>
      </c>
      <c r="Z44" s="101" t="s">
        <v>1</v>
      </c>
    </row>
    <row r="45" spans="1:27" s="85" customFormat="1" x14ac:dyDescent="0.25">
      <c r="A45" s="104" t="s">
        <v>46</v>
      </c>
      <c r="B45" s="96">
        <v>25</v>
      </c>
      <c r="C45" s="113">
        <v>1.18</v>
      </c>
      <c r="D45" s="105">
        <f>B45*C45</f>
        <v>29.5</v>
      </c>
      <c r="E45" s="93">
        <f>D45*$C$26/1000</f>
        <v>2.95</v>
      </c>
      <c r="F45" s="14" t="s">
        <v>25</v>
      </c>
      <c r="G45" s="106"/>
      <c r="H45" s="15">
        <f>D45*G45/1000</f>
        <v>0</v>
      </c>
      <c r="I45" s="79"/>
      <c r="J45" s="90" t="s">
        <v>49</v>
      </c>
      <c r="K45" s="91">
        <v>20</v>
      </c>
      <c r="L45" s="92">
        <v>1</v>
      </c>
      <c r="M45" s="92">
        <f>K45*L45</f>
        <v>20</v>
      </c>
      <c r="N45" s="93">
        <f>M45*$C$26/1000</f>
        <v>2</v>
      </c>
      <c r="O45" s="14" t="s">
        <v>25</v>
      </c>
      <c r="P45" s="106"/>
      <c r="Q45" s="15">
        <f>M45*P45/1000</f>
        <v>0</v>
      </c>
      <c r="R45" s="79"/>
      <c r="S45" s="104" t="s">
        <v>41</v>
      </c>
      <c r="T45" s="96">
        <v>15</v>
      </c>
      <c r="U45" s="113">
        <v>1</v>
      </c>
      <c r="V45" s="114">
        <f>T45*U45</f>
        <v>15</v>
      </c>
      <c r="W45" s="4">
        <f>V45*$C$26/1000</f>
        <v>1.5</v>
      </c>
      <c r="X45" s="91" t="s">
        <v>25</v>
      </c>
      <c r="Y45" s="106"/>
      <c r="Z45" s="15">
        <f>V45*Y45/1000</f>
        <v>0</v>
      </c>
    </row>
    <row r="46" spans="1:27" s="85" customFormat="1" x14ac:dyDescent="0.25">
      <c r="A46" s="104" t="s">
        <v>2</v>
      </c>
      <c r="B46" s="442">
        <v>4</v>
      </c>
      <c r="C46" s="113">
        <v>1.08</v>
      </c>
      <c r="D46" s="112">
        <f t="shared" ref="D46:D54" si="1">B46*C46</f>
        <v>4.32</v>
      </c>
      <c r="E46" s="93">
        <f>D46*$C$26/1000</f>
        <v>0.432</v>
      </c>
      <c r="F46" s="14" t="s">
        <v>25</v>
      </c>
      <c r="G46" s="108"/>
      <c r="H46" s="15">
        <f t="shared" ref="H46" si="2">D46*G46/1000</f>
        <v>0</v>
      </c>
      <c r="I46" s="79"/>
      <c r="J46" s="90" t="s">
        <v>5</v>
      </c>
      <c r="K46" s="96">
        <v>0.5</v>
      </c>
      <c r="L46" s="92">
        <v>1</v>
      </c>
      <c r="M46" s="92">
        <f>K46*L46</f>
        <v>0.5</v>
      </c>
      <c r="N46" s="93">
        <f>M46*$C$26/1000</f>
        <v>0.05</v>
      </c>
      <c r="O46" s="14" t="s">
        <v>25</v>
      </c>
      <c r="P46" s="106"/>
      <c r="Q46" s="15">
        <f t="shared" ref="Q46:Q48" si="3">M46*P46/1000</f>
        <v>0</v>
      </c>
      <c r="R46" s="79"/>
      <c r="S46" s="104" t="s">
        <v>52</v>
      </c>
      <c r="T46" s="96">
        <v>10</v>
      </c>
      <c r="U46" s="113">
        <v>1.1599999999999999</v>
      </c>
      <c r="V46" s="114">
        <f t="shared" ref="V46:V53" si="4">T46*U46</f>
        <v>11.6</v>
      </c>
      <c r="W46" s="4">
        <f>V46*$C$26/1000</f>
        <v>1.1599999999999999</v>
      </c>
      <c r="X46" s="91" t="s">
        <v>25</v>
      </c>
      <c r="Y46" s="106"/>
      <c r="Z46" s="15">
        <f t="shared" ref="Z46:Z52" si="5">V46*Y46/1000</f>
        <v>0</v>
      </c>
    </row>
    <row r="47" spans="1:27" s="85" customFormat="1" x14ac:dyDescent="0.25">
      <c r="A47" s="104" t="s">
        <v>3</v>
      </c>
      <c r="B47" s="91">
        <v>0.5</v>
      </c>
      <c r="C47" s="92">
        <v>1.18</v>
      </c>
      <c r="D47" s="112">
        <f t="shared" si="1"/>
        <v>0.59</v>
      </c>
      <c r="E47" s="93">
        <f>D47*$C$26/1000</f>
        <v>5.8999999999999997E-2</v>
      </c>
      <c r="F47" s="14" t="s">
        <v>25</v>
      </c>
      <c r="G47" s="108"/>
      <c r="H47" s="15">
        <f>D47*G47/1000</f>
        <v>0</v>
      </c>
      <c r="I47" s="79"/>
      <c r="J47" s="90" t="s">
        <v>3</v>
      </c>
      <c r="K47" s="91">
        <v>0.5</v>
      </c>
      <c r="L47" s="92">
        <v>1.18</v>
      </c>
      <c r="M47" s="111">
        <f>K47*L47</f>
        <v>0.59</v>
      </c>
      <c r="N47" s="93">
        <f>M47*$C$26/1000</f>
        <v>5.8999999999999997E-2</v>
      </c>
      <c r="O47" s="14" t="s">
        <v>25</v>
      </c>
      <c r="P47" s="106"/>
      <c r="Q47" s="15">
        <f t="shared" si="3"/>
        <v>0</v>
      </c>
      <c r="R47" s="79"/>
      <c r="S47" s="104" t="s">
        <v>51</v>
      </c>
      <c r="T47" s="442">
        <v>22</v>
      </c>
      <c r="U47" s="113">
        <v>1.35</v>
      </c>
      <c r="V47" s="114">
        <f t="shared" si="4"/>
        <v>29.700000000000003</v>
      </c>
      <c r="W47" s="4">
        <f>V47*$C$26/1000</f>
        <v>2.9700000000000006</v>
      </c>
      <c r="X47" s="91" t="s">
        <v>25</v>
      </c>
      <c r="Y47" s="108"/>
      <c r="Z47" s="15">
        <f t="shared" si="5"/>
        <v>0</v>
      </c>
    </row>
    <row r="48" spans="1:27" s="85" customFormat="1" x14ac:dyDescent="0.25">
      <c r="A48" s="104" t="s">
        <v>47</v>
      </c>
      <c r="B48" s="96">
        <v>0.7</v>
      </c>
      <c r="C48" s="113">
        <v>1</v>
      </c>
      <c r="D48" s="113">
        <f t="shared" si="1"/>
        <v>0.7</v>
      </c>
      <c r="E48" s="93">
        <f>D48*$C$26/100</f>
        <v>0.7</v>
      </c>
      <c r="F48" s="14" t="s">
        <v>36</v>
      </c>
      <c r="G48" s="108"/>
      <c r="H48" s="15">
        <f>D48*G48/100</f>
        <v>0</v>
      </c>
      <c r="I48" s="79"/>
      <c r="J48" s="90" t="s">
        <v>2</v>
      </c>
      <c r="K48" s="442">
        <v>4</v>
      </c>
      <c r="L48" s="92">
        <v>1.08</v>
      </c>
      <c r="M48" s="111">
        <f>K48*L48</f>
        <v>4.32</v>
      </c>
      <c r="N48" s="93">
        <f>M48*$C$26/1000</f>
        <v>0.432</v>
      </c>
      <c r="O48" s="14" t="s">
        <v>25</v>
      </c>
      <c r="P48" s="106"/>
      <c r="Q48" s="15">
        <f t="shared" si="3"/>
        <v>0</v>
      </c>
      <c r="R48" s="79"/>
      <c r="S48" s="104" t="s">
        <v>2</v>
      </c>
      <c r="T48" s="442">
        <v>4</v>
      </c>
      <c r="U48" s="113">
        <v>1.08</v>
      </c>
      <c r="V48" s="114">
        <f t="shared" si="4"/>
        <v>4.32</v>
      </c>
      <c r="W48" s="4">
        <f>V48*$C$26/1000</f>
        <v>0.432</v>
      </c>
      <c r="X48" s="91" t="s">
        <v>25</v>
      </c>
      <c r="Y48" s="108"/>
      <c r="Z48" s="15">
        <f t="shared" si="5"/>
        <v>0</v>
      </c>
    </row>
    <row r="49" spans="1:27" s="85" customFormat="1" x14ac:dyDescent="0.25">
      <c r="A49" s="104" t="s">
        <v>5</v>
      </c>
      <c r="B49" s="96">
        <v>1</v>
      </c>
      <c r="C49" s="113">
        <v>1</v>
      </c>
      <c r="D49" s="113">
        <f t="shared" si="1"/>
        <v>1</v>
      </c>
      <c r="E49" s="93">
        <f>D49*$C$26/1000</f>
        <v>0.1</v>
      </c>
      <c r="F49" s="14" t="s">
        <v>25</v>
      </c>
      <c r="G49" s="108"/>
      <c r="H49" s="15">
        <f>D49*G49/1000</f>
        <v>0</v>
      </c>
      <c r="I49" s="79"/>
      <c r="J49" s="90" t="s">
        <v>127</v>
      </c>
      <c r="K49" s="96">
        <v>2</v>
      </c>
      <c r="L49" s="92">
        <v>1</v>
      </c>
      <c r="M49" s="92">
        <f>K49*L49</f>
        <v>2</v>
      </c>
      <c r="N49" s="93">
        <f>M49*$C$26/900</f>
        <v>0.22222222222222221</v>
      </c>
      <c r="O49" s="14" t="s">
        <v>40</v>
      </c>
      <c r="P49" s="106"/>
      <c r="Q49" s="15">
        <f>M49*P49/900</f>
        <v>0</v>
      </c>
      <c r="R49" s="79"/>
      <c r="S49" s="104" t="s">
        <v>3</v>
      </c>
      <c r="T49" s="91">
        <v>0.5</v>
      </c>
      <c r="U49" s="92">
        <v>1.18</v>
      </c>
      <c r="V49" s="114">
        <f t="shared" si="4"/>
        <v>0.59</v>
      </c>
      <c r="W49" s="4">
        <f>V49*$C$26/1000</f>
        <v>5.8999999999999997E-2</v>
      </c>
      <c r="X49" s="91" t="s">
        <v>25</v>
      </c>
      <c r="Y49" s="106"/>
      <c r="Z49" s="15">
        <f t="shared" si="5"/>
        <v>0</v>
      </c>
    </row>
    <row r="50" spans="1:27" s="85" customFormat="1" x14ac:dyDescent="0.25">
      <c r="A50" s="104" t="s">
        <v>10</v>
      </c>
      <c r="B50" s="443">
        <v>8</v>
      </c>
      <c r="C50" s="113">
        <v>1.18</v>
      </c>
      <c r="D50" s="112">
        <f t="shared" si="1"/>
        <v>9.44</v>
      </c>
      <c r="E50" s="93">
        <f>D50*$C$26/1000</f>
        <v>0.94399999999999995</v>
      </c>
      <c r="F50" s="14" t="s">
        <v>16</v>
      </c>
      <c r="G50" s="108"/>
      <c r="H50" s="15">
        <f>D50*G50/1000</f>
        <v>0</v>
      </c>
      <c r="I50" s="79"/>
      <c r="J50" s="79"/>
      <c r="K50" s="79"/>
      <c r="L50" s="79"/>
      <c r="M50" s="79"/>
      <c r="N50" s="79"/>
      <c r="O50" s="79"/>
      <c r="P50" s="79"/>
      <c r="Q50" s="47">
        <f>SUM(Q45:Q49)</f>
        <v>0</v>
      </c>
      <c r="R50" s="79"/>
      <c r="S50" s="104" t="s">
        <v>127</v>
      </c>
      <c r="T50" s="96">
        <v>2</v>
      </c>
      <c r="U50" s="113">
        <v>1</v>
      </c>
      <c r="V50" s="114">
        <f t="shared" si="4"/>
        <v>2</v>
      </c>
      <c r="W50" s="93">
        <f>V50*$C$26/900</f>
        <v>0.22222222222222221</v>
      </c>
      <c r="X50" s="14" t="s">
        <v>40</v>
      </c>
      <c r="Y50" s="108"/>
      <c r="Z50" s="15">
        <f>V50*Y50/900</f>
        <v>0</v>
      </c>
    </row>
    <row r="51" spans="1:27" s="85" customFormat="1" ht="15.75" thickBot="1" x14ac:dyDescent="0.3">
      <c r="A51" s="104" t="s">
        <v>54</v>
      </c>
      <c r="B51" s="96">
        <v>2</v>
      </c>
      <c r="C51" s="113">
        <v>1</v>
      </c>
      <c r="D51" s="112">
        <f t="shared" si="1"/>
        <v>2</v>
      </c>
      <c r="E51" s="93">
        <f>D51*$C$26/500</f>
        <v>0.4</v>
      </c>
      <c r="F51" s="14" t="s">
        <v>56</v>
      </c>
      <c r="G51" s="108"/>
      <c r="H51" s="15">
        <f>D51*G51/500</f>
        <v>0</v>
      </c>
      <c r="J51" s="79"/>
      <c r="K51" s="79"/>
      <c r="L51" s="79"/>
      <c r="M51" s="79"/>
      <c r="N51" s="79"/>
      <c r="O51" s="79"/>
      <c r="P51" s="79"/>
      <c r="Q51" s="79"/>
      <c r="R51" s="79"/>
      <c r="S51" s="104" t="s">
        <v>5</v>
      </c>
      <c r="T51" s="96">
        <v>0.5</v>
      </c>
      <c r="U51" s="113">
        <v>1</v>
      </c>
      <c r="V51" s="114">
        <f t="shared" si="4"/>
        <v>0.5</v>
      </c>
      <c r="W51" s="4">
        <f>V51*$C$26/1000</f>
        <v>0.05</v>
      </c>
      <c r="X51" s="91" t="s">
        <v>25</v>
      </c>
      <c r="Y51" s="108"/>
      <c r="Z51" s="15">
        <f t="shared" ref="Z51" si="6">V51*Y51/1000</f>
        <v>0</v>
      </c>
    </row>
    <row r="52" spans="1:27" s="85" customFormat="1" ht="15.75" thickBot="1" x14ac:dyDescent="0.3">
      <c r="A52" s="104" t="s">
        <v>128</v>
      </c>
      <c r="B52" s="96">
        <v>1</v>
      </c>
      <c r="C52" s="113">
        <v>1</v>
      </c>
      <c r="D52" s="112">
        <f t="shared" si="1"/>
        <v>1</v>
      </c>
      <c r="E52" s="93">
        <f>D52*$C$26/900</f>
        <v>0.1111111111111111</v>
      </c>
      <c r="F52" s="14" t="s">
        <v>40</v>
      </c>
      <c r="G52" s="108"/>
      <c r="H52" s="15">
        <f>D52*G52/900</f>
        <v>0</v>
      </c>
      <c r="J52" s="566" t="s">
        <v>27</v>
      </c>
      <c r="K52" s="567"/>
      <c r="L52" s="567"/>
      <c r="M52" s="567"/>
      <c r="N52" s="567"/>
      <c r="O52" s="567"/>
      <c r="P52" s="567"/>
      <c r="Q52" s="568"/>
      <c r="R52" s="79"/>
      <c r="S52" s="104" t="s">
        <v>10</v>
      </c>
      <c r="T52" s="443">
        <v>8</v>
      </c>
      <c r="U52" s="113">
        <v>1.18</v>
      </c>
      <c r="V52" s="114">
        <f t="shared" si="4"/>
        <v>9.44</v>
      </c>
      <c r="W52" s="4">
        <f>V52*$C$26/1000</f>
        <v>0.94399999999999995</v>
      </c>
      <c r="X52" s="91" t="s">
        <v>25</v>
      </c>
      <c r="Y52" s="108"/>
      <c r="Z52" s="15">
        <f t="shared" si="5"/>
        <v>0</v>
      </c>
    </row>
    <row r="53" spans="1:27" s="85" customFormat="1" ht="25.5" x14ac:dyDescent="0.25">
      <c r="A53" s="104" t="s">
        <v>26</v>
      </c>
      <c r="B53" s="96">
        <v>4</v>
      </c>
      <c r="C53" s="113">
        <v>1</v>
      </c>
      <c r="D53" s="112">
        <f t="shared" si="1"/>
        <v>4</v>
      </c>
      <c r="E53" s="93">
        <f>D53*$C$26/400</f>
        <v>1</v>
      </c>
      <c r="F53" s="14" t="s">
        <v>161</v>
      </c>
      <c r="G53" s="108"/>
      <c r="H53" s="15">
        <f>D53*G53/400</f>
        <v>0</v>
      </c>
      <c r="J53" s="101" t="s">
        <v>13</v>
      </c>
      <c r="K53" s="102" t="s">
        <v>45</v>
      </c>
      <c r="L53" s="103" t="s">
        <v>107</v>
      </c>
      <c r="M53" s="103" t="s">
        <v>108</v>
      </c>
      <c r="N53" s="569" t="s">
        <v>15</v>
      </c>
      <c r="O53" s="570"/>
      <c r="P53" s="101" t="s">
        <v>0</v>
      </c>
      <c r="Q53" s="101" t="s">
        <v>1</v>
      </c>
      <c r="R53" s="79"/>
      <c r="S53" s="104" t="s">
        <v>12</v>
      </c>
      <c r="T53" s="96">
        <v>0.4</v>
      </c>
      <c r="U53" s="113">
        <v>1.35</v>
      </c>
      <c r="V53" s="114">
        <f t="shared" si="4"/>
        <v>0.54</v>
      </c>
      <c r="W53" s="4">
        <f>V53*$C$26/30</f>
        <v>1.8</v>
      </c>
      <c r="X53" s="91" t="s">
        <v>109</v>
      </c>
      <c r="Y53" s="108"/>
      <c r="Z53" s="15">
        <f>V53*Y53/30</f>
        <v>0</v>
      </c>
    </row>
    <row r="54" spans="1:27" s="85" customFormat="1" x14ac:dyDescent="0.25">
      <c r="A54" s="104" t="s">
        <v>32</v>
      </c>
      <c r="B54" s="96">
        <v>1</v>
      </c>
      <c r="C54" s="113">
        <v>1</v>
      </c>
      <c r="D54" s="112">
        <f t="shared" si="1"/>
        <v>1</v>
      </c>
      <c r="E54" s="93">
        <f>D54*$C$26/200</f>
        <v>0.5</v>
      </c>
      <c r="F54" s="14" t="s">
        <v>211</v>
      </c>
      <c r="G54" s="108"/>
      <c r="H54" s="15">
        <f>D54*G54/200</f>
        <v>0</v>
      </c>
      <c r="J54" s="104" t="s">
        <v>27</v>
      </c>
      <c r="K54" s="113">
        <v>60</v>
      </c>
      <c r="L54" s="113">
        <v>1.55</v>
      </c>
      <c r="M54" s="113">
        <f>K54*L54</f>
        <v>93</v>
      </c>
      <c r="N54" s="4">
        <f>M54*$C$26/1000</f>
        <v>9.3000000000000007</v>
      </c>
      <c r="O54" s="14" t="s">
        <v>25</v>
      </c>
      <c r="P54" s="106"/>
      <c r="Q54" s="17">
        <f>M54*P54/1000</f>
        <v>0</v>
      </c>
      <c r="R54" s="79"/>
      <c r="S54" s="156"/>
      <c r="T54" s="152"/>
      <c r="U54" s="152"/>
      <c r="V54" s="448"/>
      <c r="W54" s="449"/>
      <c r="X54" s="12"/>
      <c r="Y54" s="147"/>
      <c r="Z54" s="459">
        <f>SUM(Z45:Z53)</f>
        <v>0</v>
      </c>
    </row>
    <row r="55" spans="1:27" s="85" customFormat="1" x14ac:dyDescent="0.25">
      <c r="A55" s="402"/>
      <c r="B55" s="397"/>
      <c r="C55" s="397"/>
      <c r="D55" s="397"/>
      <c r="E55" s="403"/>
      <c r="F55" s="397"/>
      <c r="G55" s="404"/>
      <c r="H55" s="400">
        <f>SUM(H45:H54)</f>
        <v>0</v>
      </c>
      <c r="J55" s="402"/>
      <c r="K55" s="12"/>
      <c r="L55" s="12"/>
      <c r="M55" s="121"/>
      <c r="N55" s="131"/>
      <c r="O55" s="397"/>
      <c r="P55" s="132"/>
      <c r="Q55" s="18">
        <f>SUM(Q54)</f>
        <v>0</v>
      </c>
      <c r="R55" s="79"/>
      <c r="S55" s="120"/>
      <c r="T55" s="121"/>
      <c r="U55" s="121"/>
      <c r="V55" s="131"/>
      <c r="W55" s="131"/>
      <c r="X55" s="12"/>
      <c r="Y55" s="132"/>
      <c r="Z55" s="401"/>
    </row>
    <row r="56" spans="1:27" s="85" customFormat="1" ht="18.75" customHeight="1" x14ac:dyDescent="0.25">
      <c r="A56" s="120"/>
      <c r="B56" s="121"/>
      <c r="C56" s="121"/>
      <c r="D56" s="121"/>
      <c r="E56" s="133"/>
      <c r="F56" s="12"/>
      <c r="G56" s="132"/>
      <c r="H56" s="41"/>
      <c r="R56" s="79"/>
      <c r="S56" s="79"/>
      <c r="T56" s="79"/>
      <c r="U56" s="79"/>
      <c r="V56" s="79"/>
      <c r="W56" s="79"/>
      <c r="X56" s="79"/>
      <c r="Y56" s="79"/>
      <c r="Z56" s="48"/>
    </row>
    <row r="57" spans="1:27" s="85" customFormat="1" ht="15.75" thickBot="1" x14ac:dyDescent="0.3">
      <c r="A57" s="79"/>
      <c r="B57" s="79"/>
      <c r="C57" s="79"/>
      <c r="D57" s="79"/>
      <c r="E57" s="115"/>
      <c r="F57" s="115"/>
      <c r="G57" s="116"/>
      <c r="H57" s="405"/>
      <c r="J57" s="38"/>
      <c r="K57" s="38"/>
      <c r="L57" s="38"/>
      <c r="M57" s="100"/>
      <c r="N57" s="117"/>
      <c r="O57" s="118"/>
      <c r="P57" s="119"/>
      <c r="Q57" s="43"/>
      <c r="R57" s="79"/>
      <c r="S57" s="79"/>
      <c r="T57" s="79"/>
      <c r="U57" s="79"/>
      <c r="V57" s="79"/>
      <c r="W57" s="79"/>
      <c r="X57" s="79"/>
      <c r="Y57" s="79"/>
      <c r="Z57" s="79"/>
    </row>
    <row r="58" spans="1:27" s="85" customFormat="1" ht="19.5" thickBot="1" x14ac:dyDescent="0.3">
      <c r="A58" s="79"/>
      <c r="B58" s="79"/>
      <c r="C58" s="79"/>
      <c r="D58" s="79"/>
      <c r="E58" s="79"/>
      <c r="F58" s="79"/>
      <c r="G58" s="79"/>
      <c r="H58" s="46"/>
      <c r="J58" s="129"/>
      <c r="K58" s="129"/>
      <c r="L58" s="129"/>
      <c r="M58" s="129"/>
      <c r="N58" s="452"/>
      <c r="O58" s="452"/>
      <c r="P58" s="572" t="s">
        <v>93</v>
      </c>
      <c r="Q58" s="573"/>
      <c r="R58" s="574">
        <f>SUM(H39,H55,Q50,Q55,Z54)</f>
        <v>0</v>
      </c>
      <c r="S58" s="575"/>
      <c r="T58" s="406"/>
    </row>
    <row r="59" spans="1:27" s="85" customFormat="1" x14ac:dyDescent="0.25">
      <c r="A59" s="120"/>
      <c r="B59" s="121"/>
      <c r="C59" s="121"/>
      <c r="D59" s="121"/>
      <c r="E59" s="12"/>
      <c r="F59" s="12"/>
      <c r="G59" s="122"/>
      <c r="H59" s="48"/>
      <c r="R59" s="123"/>
      <c r="S59" s="123"/>
      <c r="T59" s="123"/>
    </row>
    <row r="60" spans="1:27" s="124" customFormat="1" ht="25.5" x14ac:dyDescent="0.25">
      <c r="A60" s="576" t="s">
        <v>24</v>
      </c>
      <c r="B60" s="576"/>
      <c r="C60" s="576"/>
      <c r="D60" s="576"/>
      <c r="E60" s="576"/>
      <c r="F60" s="576"/>
      <c r="G60" s="576"/>
      <c r="H60" s="576"/>
      <c r="I60" s="576"/>
      <c r="J60" s="576"/>
      <c r="K60" s="576"/>
      <c r="L60" s="576"/>
      <c r="M60" s="576"/>
      <c r="N60" s="576"/>
      <c r="O60" s="576"/>
      <c r="P60" s="576"/>
      <c r="Q60" s="576"/>
      <c r="R60" s="576"/>
      <c r="S60" s="576"/>
      <c r="T60" s="576"/>
      <c r="U60" s="576"/>
      <c r="V60" s="576"/>
      <c r="W60" s="576"/>
      <c r="X60" s="576"/>
      <c r="Y60" s="576"/>
      <c r="Z60" s="576"/>
      <c r="AA60" s="576"/>
    </row>
    <row r="61" spans="1:27" s="124" customFormat="1" x14ac:dyDescent="0.25">
      <c r="I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</row>
    <row r="62" spans="1:27" x14ac:dyDescent="0.25">
      <c r="A62" s="577" t="s">
        <v>59</v>
      </c>
      <c r="B62" s="577"/>
      <c r="C62" s="577"/>
      <c r="D62" s="577"/>
      <c r="E62" s="577"/>
      <c r="F62" s="577"/>
      <c r="G62" s="577"/>
      <c r="H62" s="577"/>
      <c r="I62" s="577"/>
      <c r="J62" s="577"/>
      <c r="K62" s="577"/>
      <c r="L62" s="577"/>
      <c r="M62" s="577"/>
      <c r="N62" s="577"/>
      <c r="O62" s="577"/>
      <c r="P62" s="577"/>
      <c r="Q62" s="577"/>
      <c r="R62" s="577"/>
      <c r="S62" s="577"/>
      <c r="T62" s="577"/>
      <c r="U62" s="577"/>
      <c r="V62" s="577"/>
      <c r="W62" s="577"/>
      <c r="X62" s="577"/>
      <c r="Y62" s="577"/>
      <c r="Z62" s="577"/>
      <c r="AA62" s="577"/>
    </row>
    <row r="63" spans="1:27" s="85" customFormat="1" ht="15.75" thickBot="1" x14ac:dyDescent="0.3">
      <c r="A63" s="571"/>
      <c r="B63" s="571"/>
      <c r="C63" s="571"/>
      <c r="D63" s="571"/>
      <c r="E63" s="571"/>
      <c r="F63" s="571"/>
      <c r="G63" s="571"/>
      <c r="H63" s="571"/>
    </row>
    <row r="64" spans="1:27" s="85" customFormat="1" ht="15.75" thickBot="1" x14ac:dyDescent="0.3">
      <c r="A64" s="566" t="s">
        <v>210</v>
      </c>
      <c r="B64" s="567"/>
      <c r="C64" s="567"/>
      <c r="D64" s="567"/>
      <c r="E64" s="567"/>
      <c r="F64" s="567"/>
      <c r="G64" s="567"/>
      <c r="H64" s="568"/>
    </row>
    <row r="65" spans="1:27" s="85" customFormat="1" ht="25.5" x14ac:dyDescent="0.25">
      <c r="A65" s="101" t="s">
        <v>13</v>
      </c>
      <c r="B65" s="102" t="s">
        <v>17</v>
      </c>
      <c r="C65" s="103" t="s">
        <v>107</v>
      </c>
      <c r="D65" s="103" t="s">
        <v>108</v>
      </c>
      <c r="E65" s="569" t="s">
        <v>15</v>
      </c>
      <c r="F65" s="570"/>
      <c r="G65" s="101" t="s">
        <v>0</v>
      </c>
      <c r="H65" s="101" t="s">
        <v>1</v>
      </c>
    </row>
    <row r="66" spans="1:27" s="85" customFormat="1" x14ac:dyDescent="0.25">
      <c r="A66" s="104" t="s">
        <v>27</v>
      </c>
      <c r="B66" s="96">
        <v>40</v>
      </c>
      <c r="C66" s="113">
        <v>1.55</v>
      </c>
      <c r="D66" s="113">
        <f>B66*C66</f>
        <v>62</v>
      </c>
      <c r="E66" s="4">
        <f>D66*$C$26/1000</f>
        <v>6.2</v>
      </c>
      <c r="F66" s="57" t="s">
        <v>16</v>
      </c>
      <c r="G66" s="108"/>
      <c r="H66" s="17">
        <f>D66*G66/1000</f>
        <v>0</v>
      </c>
    </row>
    <row r="67" spans="1:27" s="85" customFormat="1" x14ac:dyDescent="0.25">
      <c r="A67" s="104" t="s">
        <v>18</v>
      </c>
      <c r="B67" s="96">
        <v>10</v>
      </c>
      <c r="C67" s="113">
        <v>1</v>
      </c>
      <c r="D67" s="113">
        <f t="shared" ref="D67:D68" si="7">B67*C67</f>
        <v>10</v>
      </c>
      <c r="E67" s="4">
        <f>D67*$C$26/400</f>
        <v>2.5</v>
      </c>
      <c r="F67" s="57" t="s">
        <v>38</v>
      </c>
      <c r="G67" s="108"/>
      <c r="H67" s="17">
        <f>D67*G67/400</f>
        <v>0</v>
      </c>
    </row>
    <row r="68" spans="1:27" s="85" customFormat="1" x14ac:dyDescent="0.25">
      <c r="A68" s="104" t="s">
        <v>19</v>
      </c>
      <c r="B68" s="96">
        <v>10</v>
      </c>
      <c r="C68" s="113">
        <v>1</v>
      </c>
      <c r="D68" s="113">
        <f t="shared" si="7"/>
        <v>10</v>
      </c>
      <c r="E68" s="4">
        <f>D68*$C$26/1000</f>
        <v>1</v>
      </c>
      <c r="F68" s="57" t="s">
        <v>16</v>
      </c>
      <c r="G68" s="108"/>
      <c r="H68" s="17">
        <f t="shared" ref="H68" si="8">D68*G68/1000</f>
        <v>0</v>
      </c>
      <c r="J68" s="100"/>
      <c r="K68" s="100"/>
      <c r="L68" s="100"/>
      <c r="M68" s="100"/>
      <c r="N68" s="117"/>
      <c r="O68" s="118"/>
      <c r="P68" s="119"/>
      <c r="Q68" s="43"/>
    </row>
    <row r="69" spans="1:27" s="85" customFormat="1" x14ac:dyDescent="0.25">
      <c r="A69" s="38"/>
      <c r="B69" s="12"/>
      <c r="C69" s="12"/>
      <c r="D69" s="12"/>
      <c r="E69" s="12"/>
      <c r="F69" s="12"/>
      <c r="G69" s="79"/>
      <c r="H69" s="125">
        <f>SUM(H66:H68)</f>
        <v>0</v>
      </c>
      <c r="J69" s="100"/>
      <c r="K69" s="100"/>
      <c r="L69" s="100"/>
      <c r="M69" s="100"/>
      <c r="N69" s="117"/>
      <c r="O69" s="118"/>
      <c r="P69" s="119"/>
      <c r="Q69" s="43"/>
    </row>
    <row r="70" spans="1:27" s="85" customFormat="1" x14ac:dyDescent="0.25">
      <c r="A70" s="126"/>
      <c r="B70" s="115"/>
      <c r="C70" s="115"/>
      <c r="D70" s="115"/>
      <c r="E70" s="127"/>
      <c r="F70" s="115"/>
      <c r="G70" s="128"/>
      <c r="H70" s="42"/>
      <c r="J70" s="100"/>
      <c r="K70" s="100"/>
      <c r="L70" s="100"/>
      <c r="M70" s="100"/>
      <c r="N70" s="117"/>
      <c r="O70" s="118"/>
      <c r="P70" s="119"/>
      <c r="Q70" s="43"/>
    </row>
    <row r="71" spans="1:27" s="124" customFormat="1" x14ac:dyDescent="0.25">
      <c r="A71" s="577" t="s">
        <v>60</v>
      </c>
      <c r="B71" s="577"/>
      <c r="C71" s="577"/>
      <c r="D71" s="577"/>
      <c r="E71" s="577"/>
      <c r="F71" s="577"/>
      <c r="G71" s="577"/>
      <c r="H71" s="577"/>
      <c r="I71" s="577"/>
      <c r="J71" s="577"/>
      <c r="K71" s="577"/>
      <c r="L71" s="577"/>
      <c r="M71" s="577"/>
      <c r="N71" s="577"/>
      <c r="O71" s="577"/>
      <c r="P71" s="577"/>
      <c r="Q71" s="577"/>
      <c r="R71" s="577"/>
      <c r="S71" s="577"/>
      <c r="T71" s="577"/>
      <c r="U71" s="577"/>
      <c r="V71" s="577"/>
      <c r="W71" s="577"/>
      <c r="X71" s="577"/>
      <c r="Y71" s="577"/>
      <c r="Z71" s="577"/>
      <c r="AA71" s="577"/>
    </row>
    <row r="72" spans="1:27" ht="15.75" thickBot="1" x14ac:dyDescent="0.3">
      <c r="A72" s="124"/>
      <c r="B72" s="124"/>
      <c r="C72" s="124"/>
      <c r="D72" s="124"/>
      <c r="E72" s="124"/>
      <c r="F72" s="124"/>
      <c r="G72" s="124"/>
      <c r="H72" s="124"/>
      <c r="I72" s="124"/>
      <c r="N72" s="458"/>
      <c r="O72" s="458"/>
      <c r="P72" s="458"/>
      <c r="Q72" s="458"/>
      <c r="R72" s="452"/>
      <c r="S72" s="124"/>
      <c r="T72" s="571"/>
      <c r="U72" s="571"/>
      <c r="V72" s="571"/>
      <c r="W72" s="571"/>
      <c r="X72" s="571"/>
      <c r="Y72" s="571"/>
      <c r="Z72" s="571"/>
      <c r="AA72" s="571"/>
    </row>
    <row r="73" spans="1:27" ht="15.75" thickBot="1" x14ac:dyDescent="0.3">
      <c r="A73" s="566" t="s">
        <v>112</v>
      </c>
      <c r="B73" s="567"/>
      <c r="C73" s="567"/>
      <c r="D73" s="567"/>
      <c r="E73" s="567"/>
      <c r="F73" s="567"/>
      <c r="G73" s="567"/>
      <c r="H73" s="568"/>
      <c r="I73" s="85"/>
      <c r="J73" s="566" t="s">
        <v>61</v>
      </c>
      <c r="K73" s="567"/>
      <c r="L73" s="567"/>
      <c r="M73" s="567"/>
      <c r="N73" s="567"/>
      <c r="O73" s="567"/>
      <c r="P73" s="567"/>
      <c r="Q73" s="568"/>
      <c r="U73" s="129"/>
      <c r="V73" s="129"/>
      <c r="W73" s="130"/>
      <c r="X73" s="571"/>
      <c r="Y73" s="571"/>
      <c r="Z73" s="129"/>
      <c r="AA73" s="129"/>
    </row>
    <row r="74" spans="1:27" ht="33" customHeight="1" x14ac:dyDescent="0.25">
      <c r="A74" s="101" t="s">
        <v>13</v>
      </c>
      <c r="B74" s="102" t="s">
        <v>45</v>
      </c>
      <c r="C74" s="102" t="s">
        <v>107</v>
      </c>
      <c r="D74" s="102" t="s">
        <v>108</v>
      </c>
      <c r="E74" s="578" t="s">
        <v>15</v>
      </c>
      <c r="F74" s="578"/>
      <c r="G74" s="101" t="s">
        <v>0</v>
      </c>
      <c r="H74" s="101" t="s">
        <v>1</v>
      </c>
      <c r="I74" s="85"/>
      <c r="J74" s="101" t="s">
        <v>13</v>
      </c>
      <c r="K74" s="102" t="s">
        <v>45</v>
      </c>
      <c r="L74" s="102" t="s">
        <v>107</v>
      </c>
      <c r="M74" s="102" t="s">
        <v>108</v>
      </c>
      <c r="N74" s="579" t="s">
        <v>15</v>
      </c>
      <c r="O74" s="580"/>
      <c r="P74" s="101" t="s">
        <v>0</v>
      </c>
      <c r="Q74" s="101" t="s">
        <v>1</v>
      </c>
      <c r="U74" s="120"/>
      <c r="V74" s="120"/>
      <c r="W74" s="121"/>
      <c r="X74" s="131"/>
      <c r="Y74" s="12"/>
      <c r="Z74" s="132"/>
      <c r="AA74" s="41"/>
    </row>
    <row r="75" spans="1:27" x14ac:dyDescent="0.25">
      <c r="A75" s="90" t="s">
        <v>113</v>
      </c>
      <c r="B75" s="91">
        <v>25</v>
      </c>
      <c r="C75" s="92">
        <v>1.21</v>
      </c>
      <c r="D75" s="97">
        <f>B75*C75</f>
        <v>30.25</v>
      </c>
      <c r="E75" s="39">
        <f>D75*$C$26/1000</f>
        <v>3.0249999999999999</v>
      </c>
      <c r="F75" s="14" t="s">
        <v>25</v>
      </c>
      <c r="G75" s="108"/>
      <c r="H75" s="108">
        <f>D75*G75/1000</f>
        <v>0</v>
      </c>
      <c r="I75" s="85"/>
      <c r="J75" s="90" t="s">
        <v>49</v>
      </c>
      <c r="K75" s="91">
        <v>20</v>
      </c>
      <c r="L75" s="92">
        <v>1</v>
      </c>
      <c r="M75" s="111">
        <f>K75*L75</f>
        <v>20</v>
      </c>
      <c r="N75" s="39">
        <f>M75*$C$26/1000</f>
        <v>2</v>
      </c>
      <c r="O75" s="14" t="s">
        <v>25</v>
      </c>
      <c r="P75" s="106"/>
      <c r="Q75" s="108">
        <f>M75*P75/1000</f>
        <v>0</v>
      </c>
      <c r="U75" s="120"/>
      <c r="V75" s="120"/>
      <c r="W75" s="121"/>
      <c r="X75" s="131"/>
      <c r="Y75" s="12"/>
      <c r="Z75" s="132"/>
      <c r="AA75" s="41"/>
    </row>
    <row r="76" spans="1:27" x14ac:dyDescent="0.25">
      <c r="A76" s="104" t="s">
        <v>53</v>
      </c>
      <c r="B76" s="91">
        <v>0.5</v>
      </c>
      <c r="C76" s="92">
        <v>1.18</v>
      </c>
      <c r="D76" s="111">
        <f t="shared" ref="D76:D80" si="9">B76*C76</f>
        <v>0.59</v>
      </c>
      <c r="E76" s="93">
        <f>D76*$C$26/1000</f>
        <v>5.8999999999999997E-2</v>
      </c>
      <c r="F76" s="14" t="s">
        <v>25</v>
      </c>
      <c r="G76" s="108"/>
      <c r="H76" s="108">
        <f t="shared" ref="H76:H80" si="10">D76*G76/1000</f>
        <v>0</v>
      </c>
      <c r="I76" s="85"/>
      <c r="J76" s="90" t="s">
        <v>3</v>
      </c>
      <c r="K76" s="96">
        <v>0.5</v>
      </c>
      <c r="L76" s="92">
        <v>1.18</v>
      </c>
      <c r="M76" s="111">
        <f>K76*L76</f>
        <v>0.59</v>
      </c>
      <c r="N76" s="39">
        <f>M76*$C$26/1000</f>
        <v>5.8999999999999997E-2</v>
      </c>
      <c r="O76" s="14" t="s">
        <v>25</v>
      </c>
      <c r="P76" s="106"/>
      <c r="Q76" s="108">
        <f t="shared" ref="Q76:Q79" si="11">M76*P76/1000</f>
        <v>0</v>
      </c>
      <c r="U76" s="120"/>
      <c r="V76" s="120"/>
      <c r="W76" s="121"/>
      <c r="X76" s="131"/>
      <c r="Y76" s="12"/>
      <c r="Z76" s="132"/>
      <c r="AA76" s="41"/>
    </row>
    <row r="77" spans="1:27" x14ac:dyDescent="0.25">
      <c r="A77" s="104" t="s">
        <v>2</v>
      </c>
      <c r="B77" s="444">
        <v>4</v>
      </c>
      <c r="C77" s="113">
        <v>1.08</v>
      </c>
      <c r="D77" s="111">
        <f t="shared" si="9"/>
        <v>4.32</v>
      </c>
      <c r="E77" s="39">
        <f>D77*$C$26/1000</f>
        <v>0.432</v>
      </c>
      <c r="F77" s="14" t="s">
        <v>25</v>
      </c>
      <c r="G77" s="108"/>
      <c r="H77" s="108">
        <f t="shared" si="10"/>
        <v>0</v>
      </c>
      <c r="I77" s="85"/>
      <c r="J77" s="90" t="s">
        <v>2</v>
      </c>
      <c r="K77" s="444">
        <v>4</v>
      </c>
      <c r="L77" s="92">
        <v>1.08</v>
      </c>
      <c r="M77" s="111">
        <f>K77*L77</f>
        <v>4.32</v>
      </c>
      <c r="N77" s="39">
        <f>M77*$C$26/1000</f>
        <v>0.432</v>
      </c>
      <c r="O77" s="14" t="s">
        <v>25</v>
      </c>
      <c r="P77" s="106"/>
      <c r="Q77" s="108">
        <f t="shared" si="11"/>
        <v>0</v>
      </c>
      <c r="U77" s="120"/>
      <c r="V77" s="120"/>
      <c r="W77" s="121"/>
      <c r="X77" s="131"/>
      <c r="Y77" s="12"/>
      <c r="Z77" s="132"/>
      <c r="AA77" s="41"/>
    </row>
    <row r="78" spans="1:27" x14ac:dyDescent="0.25">
      <c r="A78" s="104" t="s">
        <v>10</v>
      </c>
      <c r="B78" s="443">
        <v>8</v>
      </c>
      <c r="C78" s="113">
        <v>1.18</v>
      </c>
      <c r="D78" s="111">
        <f t="shared" si="9"/>
        <v>9.44</v>
      </c>
      <c r="E78" s="39">
        <f>D78*$C$26/1000</f>
        <v>0.94399999999999995</v>
      </c>
      <c r="F78" s="14" t="s">
        <v>25</v>
      </c>
      <c r="G78" s="108"/>
      <c r="H78" s="108">
        <f t="shared" si="10"/>
        <v>0</v>
      </c>
      <c r="I78" s="85"/>
      <c r="J78" s="90" t="s">
        <v>127</v>
      </c>
      <c r="K78" s="91">
        <v>2</v>
      </c>
      <c r="L78" s="92">
        <v>1</v>
      </c>
      <c r="M78" s="92">
        <f>K78*L78</f>
        <v>2</v>
      </c>
      <c r="N78" s="39">
        <f>M78*$C$26/900</f>
        <v>0.22222222222222221</v>
      </c>
      <c r="O78" s="14" t="s">
        <v>40</v>
      </c>
      <c r="P78" s="106"/>
      <c r="Q78" s="108">
        <f>M78*P78/900</f>
        <v>0</v>
      </c>
      <c r="U78" s="120"/>
      <c r="V78" s="120"/>
      <c r="W78" s="121"/>
      <c r="X78" s="131"/>
      <c r="Y78" s="12"/>
      <c r="Z78" s="132"/>
      <c r="AA78" s="41"/>
    </row>
    <row r="79" spans="1:27" x14ac:dyDescent="0.25">
      <c r="A79" s="104" t="s">
        <v>129</v>
      </c>
      <c r="B79" s="96">
        <v>2</v>
      </c>
      <c r="C79" s="113">
        <v>1</v>
      </c>
      <c r="D79" s="92">
        <f t="shared" si="9"/>
        <v>2</v>
      </c>
      <c r="E79" s="39">
        <f>D79*$C$26/900</f>
        <v>0.22222222222222221</v>
      </c>
      <c r="F79" s="14" t="s">
        <v>40</v>
      </c>
      <c r="G79" s="108"/>
      <c r="H79" s="108">
        <f>D79*G79/900</f>
        <v>0</v>
      </c>
      <c r="I79" s="85"/>
      <c r="J79" s="90" t="s">
        <v>5</v>
      </c>
      <c r="K79" s="96">
        <v>0.5</v>
      </c>
      <c r="L79" s="92">
        <v>1</v>
      </c>
      <c r="M79" s="92">
        <f>K79*L79</f>
        <v>0.5</v>
      </c>
      <c r="N79" s="39">
        <f>M79*$C$26/1000</f>
        <v>0.05</v>
      </c>
      <c r="O79" s="14" t="s">
        <v>25</v>
      </c>
      <c r="P79" s="106"/>
      <c r="Q79" s="108">
        <f t="shared" si="11"/>
        <v>0</v>
      </c>
      <c r="U79" s="120"/>
      <c r="V79" s="120"/>
      <c r="W79" s="121"/>
      <c r="X79" s="133"/>
      <c r="Y79" s="12"/>
      <c r="Z79" s="132"/>
      <c r="AA79" s="41"/>
    </row>
    <row r="80" spans="1:27" x14ac:dyDescent="0.25">
      <c r="A80" s="104" t="s">
        <v>5</v>
      </c>
      <c r="B80" s="96">
        <v>0.5</v>
      </c>
      <c r="C80" s="113">
        <v>1</v>
      </c>
      <c r="D80" s="92">
        <f t="shared" si="9"/>
        <v>0.5</v>
      </c>
      <c r="E80" s="39">
        <f>D80*$C$26/1000</f>
        <v>0.05</v>
      </c>
      <c r="F80" s="14" t="s">
        <v>25</v>
      </c>
      <c r="G80" s="108"/>
      <c r="H80" s="108">
        <f t="shared" si="10"/>
        <v>0</v>
      </c>
      <c r="I80" s="85"/>
      <c r="Q80" s="47">
        <f>SUM(Q75:Q79)</f>
        <v>0</v>
      </c>
      <c r="U80" s="120"/>
      <c r="V80" s="120"/>
      <c r="W80" s="121"/>
      <c r="X80" s="131"/>
      <c r="Y80" s="12"/>
      <c r="Z80" s="132"/>
      <c r="AA80" s="41"/>
    </row>
    <row r="81" spans="1:27" x14ac:dyDescent="0.25">
      <c r="H81" s="134">
        <f>SUM(H75:H80)</f>
        <v>0</v>
      </c>
      <c r="I81" s="85"/>
      <c r="U81" s="120"/>
      <c r="V81" s="120"/>
      <c r="W81" s="121"/>
      <c r="X81" s="131"/>
      <c r="Y81" s="12"/>
      <c r="Z81" s="132"/>
      <c r="AA81" s="41"/>
    </row>
    <row r="82" spans="1:27" ht="15.75" customHeight="1" thickBot="1" x14ac:dyDescent="0.3">
      <c r="I82" s="85"/>
      <c r="U82" s="120"/>
      <c r="V82" s="120"/>
      <c r="W82" s="121"/>
      <c r="X82" s="36"/>
      <c r="Y82" s="12"/>
      <c r="Z82" s="132"/>
      <c r="AA82" s="41"/>
    </row>
    <row r="83" spans="1:27" ht="15.75" thickBot="1" x14ac:dyDescent="0.3">
      <c r="A83" s="566" t="s">
        <v>130</v>
      </c>
      <c r="B83" s="567"/>
      <c r="C83" s="567"/>
      <c r="D83" s="567"/>
      <c r="E83" s="567"/>
      <c r="F83" s="567"/>
      <c r="G83" s="567"/>
      <c r="H83" s="568"/>
      <c r="I83" s="85"/>
      <c r="J83" s="592" t="s">
        <v>100</v>
      </c>
      <c r="K83" s="593"/>
      <c r="L83" s="593"/>
      <c r="M83" s="593"/>
      <c r="N83" s="593"/>
      <c r="O83" s="593"/>
      <c r="P83" s="593"/>
      <c r="Q83" s="594"/>
      <c r="U83" s="120"/>
      <c r="V83" s="120"/>
      <c r="W83" s="121"/>
      <c r="X83" s="131"/>
      <c r="Y83" s="12"/>
      <c r="Z83" s="132"/>
      <c r="AA83" s="41"/>
    </row>
    <row r="84" spans="1:27" ht="25.5" x14ac:dyDescent="0.25">
      <c r="A84" s="101" t="s">
        <v>13</v>
      </c>
      <c r="B84" s="102" t="s">
        <v>45</v>
      </c>
      <c r="C84" s="102" t="s">
        <v>107</v>
      </c>
      <c r="D84" s="102" t="s">
        <v>108</v>
      </c>
      <c r="E84" s="569" t="s">
        <v>15</v>
      </c>
      <c r="F84" s="570"/>
      <c r="G84" s="101" t="s">
        <v>0</v>
      </c>
      <c r="H84" s="101" t="s">
        <v>1</v>
      </c>
      <c r="I84" s="85"/>
      <c r="J84" s="101" t="s">
        <v>13</v>
      </c>
      <c r="K84" s="102" t="s">
        <v>45</v>
      </c>
      <c r="L84" s="103" t="s">
        <v>107</v>
      </c>
      <c r="M84" s="103" t="s">
        <v>108</v>
      </c>
      <c r="N84" s="569" t="s">
        <v>15</v>
      </c>
      <c r="O84" s="570"/>
      <c r="P84" s="101" t="s">
        <v>0</v>
      </c>
      <c r="Q84" s="101" t="s">
        <v>1</v>
      </c>
      <c r="S84" s="395"/>
      <c r="U84" s="85"/>
      <c r="V84" s="85"/>
      <c r="W84" s="85"/>
      <c r="X84" s="85"/>
      <c r="Y84" s="85"/>
      <c r="Z84" s="85"/>
      <c r="AA84" s="48"/>
    </row>
    <row r="85" spans="1:27" x14ac:dyDescent="0.25">
      <c r="A85" s="104" t="s">
        <v>65</v>
      </c>
      <c r="B85" s="96">
        <v>25</v>
      </c>
      <c r="C85" s="113">
        <v>1.1599999999999999</v>
      </c>
      <c r="D85" s="105">
        <f>B85*C85</f>
        <v>28.999999999999996</v>
      </c>
      <c r="E85" s="39">
        <f>D85*$C$26/1000</f>
        <v>2.8999999999999995</v>
      </c>
      <c r="F85" s="91" t="s">
        <v>25</v>
      </c>
      <c r="G85" s="106"/>
      <c r="H85" s="15">
        <f>D85*G85/1000</f>
        <v>0</v>
      </c>
      <c r="I85" s="85"/>
      <c r="J85" s="8" t="s">
        <v>100</v>
      </c>
      <c r="K85" s="96">
        <v>50</v>
      </c>
      <c r="L85" s="113">
        <v>1.36</v>
      </c>
      <c r="M85" s="113">
        <f>K85*L85</f>
        <v>68</v>
      </c>
      <c r="N85" s="149">
        <f>M85*$C$26/1000</f>
        <v>6.8</v>
      </c>
      <c r="O85" s="91" t="s">
        <v>25</v>
      </c>
      <c r="P85" s="15"/>
      <c r="Q85" s="15">
        <f>M85*P85/1000</f>
        <v>0</v>
      </c>
    </row>
    <row r="86" spans="1:27" x14ac:dyDescent="0.25">
      <c r="A86" s="104" t="s">
        <v>5</v>
      </c>
      <c r="B86" s="96">
        <v>0.5</v>
      </c>
      <c r="C86" s="113">
        <v>1</v>
      </c>
      <c r="D86" s="113">
        <f>B86*C86</f>
        <v>0.5</v>
      </c>
      <c r="E86" s="39">
        <f>D86*$C$26/1000</f>
        <v>0.05</v>
      </c>
      <c r="F86" s="91" t="s">
        <v>25</v>
      </c>
      <c r="G86" s="108"/>
      <c r="H86" s="15">
        <f t="shared" ref="H86" si="12">D86*G86/1000</f>
        <v>0</v>
      </c>
      <c r="I86" s="85"/>
      <c r="Q86" s="150">
        <f>SUM(Q85)</f>
        <v>0</v>
      </c>
    </row>
    <row r="87" spans="1:27" s="124" customFormat="1" x14ac:dyDescent="0.25">
      <c r="A87" s="90" t="s">
        <v>54</v>
      </c>
      <c r="B87" s="91">
        <v>4</v>
      </c>
      <c r="C87" s="92">
        <v>1</v>
      </c>
      <c r="D87" s="113">
        <f>B87*C87</f>
        <v>4</v>
      </c>
      <c r="E87" s="39">
        <f>D87*$C$26/500</f>
        <v>0.8</v>
      </c>
      <c r="F87" s="14" t="s">
        <v>56</v>
      </c>
      <c r="G87" s="460"/>
      <c r="H87" s="15">
        <f>D87*G87/500</f>
        <v>0</v>
      </c>
      <c r="I87" s="85"/>
      <c r="J87" s="120"/>
      <c r="K87" s="120"/>
      <c r="L87" s="120"/>
      <c r="M87" s="79"/>
      <c r="N87" s="79"/>
      <c r="O87" s="79"/>
      <c r="T87" s="79"/>
      <c r="U87" s="79"/>
      <c r="V87" s="79"/>
      <c r="W87" s="79"/>
      <c r="X87" s="79"/>
      <c r="Y87" s="79"/>
      <c r="Z87" s="79"/>
      <c r="AA87" s="79"/>
    </row>
    <row r="88" spans="1:27" s="124" customFormat="1" ht="15.75" thickBot="1" x14ac:dyDescent="0.3">
      <c r="A88" s="79"/>
      <c r="B88" s="79"/>
      <c r="C88" s="79"/>
      <c r="D88" s="79"/>
      <c r="E88" s="79"/>
      <c r="F88" s="79"/>
      <c r="G88" s="79"/>
      <c r="H88" s="47">
        <f>SUM(H85:H87)</f>
        <v>0</v>
      </c>
      <c r="I88" s="85"/>
      <c r="J88" s="79"/>
      <c r="K88" s="79"/>
      <c r="L88" s="79"/>
      <c r="M88" s="120"/>
      <c r="N88" s="12"/>
      <c r="O88" s="12"/>
      <c r="P88" s="132"/>
      <c r="Q88" s="48"/>
      <c r="R88" s="12"/>
      <c r="S88" s="132"/>
      <c r="T88" s="79"/>
      <c r="U88" s="79"/>
      <c r="V88" s="79"/>
      <c r="W88" s="79"/>
      <c r="X88" s="79"/>
      <c r="Y88" s="79"/>
      <c r="Z88" s="79"/>
      <c r="AA88" s="79"/>
    </row>
    <row r="89" spans="1:27" s="124" customFormat="1" ht="19.5" thickBot="1" x14ac:dyDescent="0.3">
      <c r="P89" s="572" t="s">
        <v>94</v>
      </c>
      <c r="Q89" s="573"/>
      <c r="R89" s="574">
        <f>SUM(H69,H81,H88,Q80,Q86)</f>
        <v>0</v>
      </c>
      <c r="S89" s="575"/>
      <c r="T89" s="79"/>
      <c r="U89" s="79"/>
      <c r="V89" s="79"/>
      <c r="W89" s="79"/>
      <c r="X89" s="79"/>
      <c r="Y89" s="79"/>
      <c r="Z89" s="79"/>
      <c r="AA89" s="79"/>
    </row>
    <row r="90" spans="1:27" s="85" customFormat="1" ht="15" customHeight="1" x14ac:dyDescent="0.25"/>
    <row r="91" spans="1:27" ht="25.5" x14ac:dyDescent="0.25">
      <c r="A91" s="576" t="s">
        <v>20</v>
      </c>
      <c r="B91" s="576"/>
      <c r="C91" s="576"/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6"/>
      <c r="O91" s="576"/>
      <c r="P91" s="576"/>
      <c r="Q91" s="576"/>
      <c r="R91" s="576"/>
      <c r="S91" s="576"/>
      <c r="T91" s="576"/>
      <c r="U91" s="576"/>
      <c r="V91" s="576"/>
      <c r="W91" s="576"/>
      <c r="X91" s="576"/>
      <c r="Y91" s="576"/>
      <c r="Z91" s="576"/>
      <c r="AA91" s="576"/>
    </row>
    <row r="92" spans="1:27" x14ac:dyDescent="0.25">
      <c r="A92" s="85"/>
      <c r="B92" s="85"/>
      <c r="C92" s="85"/>
      <c r="D92" s="85"/>
      <c r="E92" s="85"/>
      <c r="F92" s="85"/>
      <c r="G92" s="85"/>
      <c r="H92" s="85"/>
      <c r="I92" s="100"/>
      <c r="M92" s="452"/>
      <c r="N92" s="452"/>
      <c r="O92" s="452"/>
      <c r="P92" s="452"/>
      <c r="Q92" s="452"/>
      <c r="T92" s="452"/>
      <c r="U92" s="452"/>
      <c r="V92" s="452"/>
      <c r="W92" s="452"/>
      <c r="X92" s="452"/>
      <c r="Y92" s="452"/>
      <c r="Z92" s="452"/>
    </row>
    <row r="93" spans="1:27" x14ac:dyDescent="0.25">
      <c r="A93" s="577" t="s">
        <v>59</v>
      </c>
      <c r="B93" s="577"/>
      <c r="C93" s="577"/>
      <c r="D93" s="577"/>
      <c r="E93" s="577"/>
      <c r="F93" s="577"/>
      <c r="G93" s="577"/>
      <c r="H93" s="577"/>
      <c r="I93" s="577"/>
      <c r="J93" s="577"/>
      <c r="K93" s="577"/>
      <c r="L93" s="577"/>
      <c r="M93" s="577"/>
      <c r="N93" s="577"/>
      <c r="O93" s="577"/>
      <c r="P93" s="577"/>
      <c r="Q93" s="577"/>
      <c r="R93" s="577"/>
      <c r="S93" s="577"/>
      <c r="T93" s="577"/>
      <c r="U93" s="577"/>
      <c r="V93" s="577"/>
      <c r="W93" s="577"/>
      <c r="X93" s="577"/>
      <c r="Y93" s="577"/>
      <c r="Z93" s="577"/>
      <c r="AA93" s="577"/>
    </row>
    <row r="94" spans="1:27" ht="15.75" thickBot="1" x14ac:dyDescent="0.3">
      <c r="B94" s="83"/>
      <c r="C94" s="83"/>
      <c r="D94" s="83"/>
      <c r="E94" s="83"/>
      <c r="F94" s="83"/>
    </row>
    <row r="95" spans="1:27" ht="15.75" thickBot="1" x14ac:dyDescent="0.3">
      <c r="A95" s="566" t="s">
        <v>212</v>
      </c>
      <c r="B95" s="567"/>
      <c r="C95" s="567"/>
      <c r="D95" s="567"/>
      <c r="E95" s="567"/>
      <c r="F95" s="567"/>
      <c r="G95" s="567"/>
      <c r="H95" s="568"/>
      <c r="I95" s="84"/>
    </row>
    <row r="96" spans="1:27" x14ac:dyDescent="0.25">
      <c r="A96" s="101" t="s">
        <v>13</v>
      </c>
      <c r="B96" s="101" t="s">
        <v>17</v>
      </c>
      <c r="C96" s="135" t="s">
        <v>107</v>
      </c>
      <c r="D96" s="135" t="s">
        <v>108</v>
      </c>
      <c r="E96" s="569" t="s">
        <v>15</v>
      </c>
      <c r="F96" s="570"/>
      <c r="G96" s="101" t="s">
        <v>42</v>
      </c>
      <c r="H96" s="101" t="s">
        <v>43</v>
      </c>
      <c r="I96" s="136"/>
    </row>
    <row r="97" spans="1:27" x14ac:dyDescent="0.25">
      <c r="A97" s="104" t="s">
        <v>27</v>
      </c>
      <c r="B97" s="442">
        <v>50</v>
      </c>
      <c r="C97" s="113">
        <v>1.55</v>
      </c>
      <c r="D97" s="113">
        <f>B97*C97</f>
        <v>77.5</v>
      </c>
      <c r="E97" s="4">
        <f>D97*$C$26/1000</f>
        <v>7.75</v>
      </c>
      <c r="F97" s="137" t="s">
        <v>25</v>
      </c>
      <c r="G97" s="138"/>
      <c r="H97" s="15">
        <f>D97*G97/1000</f>
        <v>0</v>
      </c>
      <c r="I97" s="118"/>
      <c r="J97" s="595"/>
      <c r="K97" s="595"/>
      <c r="L97" s="595"/>
    </row>
    <row r="98" spans="1:27" x14ac:dyDescent="0.25">
      <c r="A98" s="104" t="s">
        <v>98</v>
      </c>
      <c r="B98" s="442">
        <v>50</v>
      </c>
      <c r="C98" s="113">
        <v>1.56</v>
      </c>
      <c r="D98" s="112">
        <f>B98*C98</f>
        <v>78</v>
      </c>
      <c r="E98" s="4">
        <f>D98*$C$26/1000</f>
        <v>7.8</v>
      </c>
      <c r="F98" s="137" t="s">
        <v>25</v>
      </c>
      <c r="G98" s="138"/>
      <c r="H98" s="15">
        <f>D98*G98/1000</f>
        <v>0</v>
      </c>
      <c r="I98" s="118"/>
      <c r="J98" s="118"/>
      <c r="K98" s="118"/>
      <c r="L98" s="118"/>
      <c r="M98" s="457"/>
    </row>
    <row r="99" spans="1:27" s="124" customFormat="1" x14ac:dyDescent="0.25">
      <c r="A99" s="104" t="s">
        <v>99</v>
      </c>
      <c r="B99" s="442">
        <v>60</v>
      </c>
      <c r="C99" s="113">
        <v>1.6</v>
      </c>
      <c r="D99" s="112">
        <f>B99*C99</f>
        <v>96</v>
      </c>
      <c r="E99" s="4">
        <f>D99*$C$26/1000</f>
        <v>9.6</v>
      </c>
      <c r="F99" s="4" t="s">
        <v>16</v>
      </c>
      <c r="G99" s="138"/>
      <c r="H99" s="15">
        <f>D99*G99/1000</f>
        <v>0</v>
      </c>
      <c r="I99" s="79"/>
      <c r="J99" s="118"/>
      <c r="K99" s="118"/>
      <c r="L99" s="118"/>
      <c r="M99" s="118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</row>
    <row r="100" spans="1:27" s="124" customFormat="1" x14ac:dyDescent="0.25">
      <c r="A100" s="8" t="s">
        <v>100</v>
      </c>
      <c r="B100" s="96">
        <v>50</v>
      </c>
      <c r="C100" s="113">
        <v>1.36</v>
      </c>
      <c r="D100" s="113">
        <f>B100*C100</f>
        <v>68</v>
      </c>
      <c r="E100" s="4">
        <f>D100*$C$26/1000</f>
        <v>6.8</v>
      </c>
      <c r="F100" s="91" t="s">
        <v>25</v>
      </c>
      <c r="G100" s="15"/>
      <c r="H100" s="15">
        <f>D100*G100/1000</f>
        <v>0</v>
      </c>
      <c r="I100" s="79"/>
      <c r="J100" s="118"/>
      <c r="K100" s="118"/>
      <c r="L100" s="118"/>
      <c r="M100" s="118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</row>
    <row r="101" spans="1:27" x14ac:dyDescent="0.25">
      <c r="A101" s="98"/>
      <c r="B101" s="451"/>
      <c r="C101" s="99"/>
      <c r="D101" s="99"/>
      <c r="E101" s="89"/>
      <c r="F101" s="89"/>
      <c r="H101" s="47">
        <f>SUM(H97:H100)</f>
        <v>0</v>
      </c>
      <c r="I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</row>
    <row r="102" spans="1:27" s="85" customFormat="1" x14ac:dyDescent="0.25">
      <c r="A102" s="124"/>
      <c r="B102" s="124"/>
      <c r="C102" s="124"/>
      <c r="D102" s="124"/>
      <c r="E102" s="124"/>
      <c r="F102" s="124"/>
      <c r="G102" s="124"/>
      <c r="H102" s="40"/>
      <c r="J102" s="100"/>
      <c r="K102" s="100"/>
      <c r="L102" s="100"/>
      <c r="R102" s="100"/>
      <c r="S102" s="100"/>
    </row>
    <row r="103" spans="1:27" x14ac:dyDescent="0.25">
      <c r="A103" s="577" t="s">
        <v>60</v>
      </c>
      <c r="B103" s="577"/>
      <c r="C103" s="577"/>
      <c r="D103" s="577"/>
      <c r="E103" s="577"/>
      <c r="F103" s="577"/>
      <c r="G103" s="577"/>
      <c r="H103" s="577"/>
      <c r="I103" s="577"/>
      <c r="J103" s="577"/>
      <c r="K103" s="577"/>
      <c r="L103" s="577"/>
      <c r="M103" s="577"/>
      <c r="N103" s="577"/>
      <c r="O103" s="577"/>
      <c r="P103" s="577"/>
      <c r="Q103" s="577"/>
      <c r="R103" s="577"/>
      <c r="S103" s="577"/>
      <c r="T103" s="577"/>
      <c r="U103" s="577"/>
      <c r="V103" s="577"/>
      <c r="W103" s="577"/>
      <c r="X103" s="577"/>
      <c r="Y103" s="577"/>
      <c r="Z103" s="577"/>
      <c r="AA103" s="577"/>
    </row>
    <row r="104" spans="1:27" ht="15.75" thickBot="1" x14ac:dyDescent="0.3">
      <c r="A104" s="100"/>
      <c r="B104" s="100"/>
      <c r="C104" s="100"/>
      <c r="D104" s="100"/>
      <c r="E104" s="100"/>
      <c r="F104" s="100"/>
      <c r="G104" s="100"/>
      <c r="H104" s="100"/>
      <c r="M104" s="100"/>
      <c r="N104" s="100"/>
      <c r="O104" s="100"/>
      <c r="P104" s="100"/>
      <c r="Q104" s="100"/>
      <c r="S104" s="100"/>
      <c r="T104" s="100"/>
      <c r="U104" s="100"/>
      <c r="V104" s="100"/>
      <c r="W104" s="100"/>
      <c r="X104" s="100"/>
      <c r="Y104" s="100"/>
      <c r="Z104" s="100"/>
    </row>
    <row r="105" spans="1:27" ht="15.75" thickBot="1" x14ac:dyDescent="0.3">
      <c r="A105" s="566" t="s">
        <v>207</v>
      </c>
      <c r="B105" s="567"/>
      <c r="C105" s="567"/>
      <c r="D105" s="567"/>
      <c r="E105" s="567"/>
      <c r="F105" s="567"/>
      <c r="G105" s="567"/>
      <c r="H105" s="568"/>
      <c r="J105" s="566" t="s">
        <v>61</v>
      </c>
      <c r="K105" s="567"/>
      <c r="L105" s="567"/>
      <c r="M105" s="567"/>
      <c r="N105" s="567"/>
      <c r="O105" s="567"/>
      <c r="P105" s="567"/>
      <c r="Q105" s="568"/>
      <c r="T105" s="566" t="s">
        <v>50</v>
      </c>
      <c r="U105" s="567"/>
      <c r="V105" s="596"/>
      <c r="W105" s="596"/>
      <c r="X105" s="567"/>
      <c r="Y105" s="567"/>
      <c r="Z105" s="567"/>
      <c r="AA105" s="568"/>
    </row>
    <row r="106" spans="1:27" ht="25.5" x14ac:dyDescent="0.25">
      <c r="A106" s="101" t="s">
        <v>13</v>
      </c>
      <c r="B106" s="102" t="s">
        <v>45</v>
      </c>
      <c r="C106" s="103" t="s">
        <v>107</v>
      </c>
      <c r="D106" s="103" t="s">
        <v>108</v>
      </c>
      <c r="E106" s="569" t="s">
        <v>15</v>
      </c>
      <c r="F106" s="570"/>
      <c r="G106" s="101" t="s">
        <v>0</v>
      </c>
      <c r="H106" s="101" t="s">
        <v>1</v>
      </c>
      <c r="J106" s="101" t="s">
        <v>13</v>
      </c>
      <c r="K106" s="102" t="s">
        <v>45</v>
      </c>
      <c r="L106" s="102" t="s">
        <v>107</v>
      </c>
      <c r="M106" s="103" t="s">
        <v>108</v>
      </c>
      <c r="N106" s="569" t="s">
        <v>15</v>
      </c>
      <c r="O106" s="570"/>
      <c r="P106" s="101" t="s">
        <v>0</v>
      </c>
      <c r="Q106" s="101" t="s">
        <v>1</v>
      </c>
      <c r="T106" s="101" t="s">
        <v>13</v>
      </c>
      <c r="U106" s="102" t="s">
        <v>45</v>
      </c>
      <c r="V106" s="139" t="s">
        <v>107</v>
      </c>
      <c r="W106" s="140" t="s">
        <v>108</v>
      </c>
      <c r="X106" s="578" t="s">
        <v>15</v>
      </c>
      <c r="Y106" s="578"/>
      <c r="Z106" s="101" t="s">
        <v>0</v>
      </c>
      <c r="AA106" s="101" t="s">
        <v>1</v>
      </c>
    </row>
    <row r="107" spans="1:27" x14ac:dyDescent="0.25">
      <c r="A107" s="104" t="s">
        <v>46</v>
      </c>
      <c r="B107" s="96">
        <v>25</v>
      </c>
      <c r="C107" s="113">
        <v>1.18</v>
      </c>
      <c r="D107" s="141">
        <f>B107*C107</f>
        <v>29.5</v>
      </c>
      <c r="E107" s="142">
        <f>D107*$C$26/1000</f>
        <v>2.95</v>
      </c>
      <c r="F107" s="14" t="s">
        <v>25</v>
      </c>
      <c r="G107" s="106"/>
      <c r="H107" s="15">
        <f>D107*G107/1000</f>
        <v>0</v>
      </c>
      <c r="J107" s="90" t="s">
        <v>49</v>
      </c>
      <c r="K107" s="91">
        <v>20</v>
      </c>
      <c r="L107" s="414">
        <v>1</v>
      </c>
      <c r="M107" s="141">
        <f>K107*L107</f>
        <v>20</v>
      </c>
      <c r="N107" s="143">
        <f>M107*C26/1000</f>
        <v>2</v>
      </c>
      <c r="O107" s="14" t="s">
        <v>25</v>
      </c>
      <c r="P107" s="106"/>
      <c r="Q107" s="15">
        <f>M107*P107/1000</f>
        <v>0</v>
      </c>
      <c r="T107" s="104" t="s">
        <v>50</v>
      </c>
      <c r="U107" s="96">
        <v>15</v>
      </c>
      <c r="V107" s="107">
        <v>1</v>
      </c>
      <c r="W107" s="144">
        <f>U107*V107</f>
        <v>15</v>
      </c>
      <c r="X107" s="142">
        <f>W107*C26/1000</f>
        <v>1.5</v>
      </c>
      <c r="Y107" s="91" t="s">
        <v>25</v>
      </c>
      <c r="Z107" s="108"/>
      <c r="AA107" s="15">
        <f>W107*Z107/1000</f>
        <v>0</v>
      </c>
    </row>
    <row r="108" spans="1:27" x14ac:dyDescent="0.25">
      <c r="A108" s="104" t="s">
        <v>2</v>
      </c>
      <c r="B108" s="444">
        <v>4</v>
      </c>
      <c r="C108" s="113">
        <v>1.08</v>
      </c>
      <c r="D108" s="145">
        <f t="shared" ref="D108:D113" si="13">B108*C108</f>
        <v>4.32</v>
      </c>
      <c r="E108" s="142">
        <f>D108*$C$26/1000</f>
        <v>0.432</v>
      </c>
      <c r="F108" s="14" t="s">
        <v>25</v>
      </c>
      <c r="G108" s="108"/>
      <c r="H108" s="15">
        <f>D108*G108/1000</f>
        <v>0</v>
      </c>
      <c r="J108" s="90" t="s">
        <v>5</v>
      </c>
      <c r="K108" s="96">
        <v>0.5</v>
      </c>
      <c r="L108" s="414">
        <v>1</v>
      </c>
      <c r="M108" s="145">
        <f t="shared" ref="M108:M111" si="14">K108*L108</f>
        <v>0.5</v>
      </c>
      <c r="N108" s="142">
        <f>M108*C26/1000</f>
        <v>0.05</v>
      </c>
      <c r="O108" s="14" t="s">
        <v>25</v>
      </c>
      <c r="P108" s="106"/>
      <c r="Q108" s="15">
        <f t="shared" ref="Q108:Q110" si="15">M108*P108/1000</f>
        <v>0</v>
      </c>
      <c r="T108" s="104" t="s">
        <v>51</v>
      </c>
      <c r="U108" s="442">
        <v>15</v>
      </c>
      <c r="V108" s="107">
        <v>1.35</v>
      </c>
      <c r="W108" s="145">
        <f>U108*V108</f>
        <v>20.25</v>
      </c>
      <c r="X108" s="142">
        <f>W108*C26/1000</f>
        <v>2.0249999999999999</v>
      </c>
      <c r="Y108" s="91" t="s">
        <v>25</v>
      </c>
      <c r="Z108" s="108"/>
      <c r="AA108" s="15">
        <f t="shared" ref="AA108:AA110" si="16">W108*Z108/1000</f>
        <v>0</v>
      </c>
    </row>
    <row r="109" spans="1:27" x14ac:dyDescent="0.25">
      <c r="A109" s="104" t="s">
        <v>3</v>
      </c>
      <c r="B109" s="96">
        <v>0.5</v>
      </c>
      <c r="C109" s="113">
        <v>1.18</v>
      </c>
      <c r="D109" s="145">
        <f t="shared" si="13"/>
        <v>0.59</v>
      </c>
      <c r="E109" s="142">
        <f>D109*$C$26/1000</f>
        <v>5.8999999999999997E-2</v>
      </c>
      <c r="F109" s="14" t="s">
        <v>25</v>
      </c>
      <c r="G109" s="108"/>
      <c r="H109" s="15">
        <f t="shared" ref="H109" si="17">D109*G109/1000</f>
        <v>0</v>
      </c>
      <c r="J109" s="90" t="s">
        <v>3</v>
      </c>
      <c r="K109" s="91">
        <v>0.5</v>
      </c>
      <c r="L109" s="414">
        <v>1.18</v>
      </c>
      <c r="M109" s="145">
        <f t="shared" si="14"/>
        <v>0.59</v>
      </c>
      <c r="N109" s="142">
        <f>M109*C26/1000</f>
        <v>5.8999999999999997E-2</v>
      </c>
      <c r="O109" s="14" t="s">
        <v>25</v>
      </c>
      <c r="P109" s="106"/>
      <c r="Q109" s="15">
        <f t="shared" si="15"/>
        <v>0</v>
      </c>
      <c r="T109" s="104" t="s">
        <v>52</v>
      </c>
      <c r="U109" s="96">
        <v>10</v>
      </c>
      <c r="V109" s="107">
        <v>1.1599999999999999</v>
      </c>
      <c r="W109" s="141">
        <f t="shared" ref="W109" si="18">U109*V109</f>
        <v>11.6</v>
      </c>
      <c r="X109" s="142">
        <f>W109*C26/1000</f>
        <v>1.1599999999999999</v>
      </c>
      <c r="Y109" s="91" t="s">
        <v>25</v>
      </c>
      <c r="Z109" s="108"/>
      <c r="AA109" s="15">
        <f t="shared" si="16"/>
        <v>0</v>
      </c>
    </row>
    <row r="110" spans="1:27" ht="15" customHeight="1" x14ac:dyDescent="0.25">
      <c r="A110" s="104" t="s">
        <v>47</v>
      </c>
      <c r="B110" s="96">
        <v>0.7</v>
      </c>
      <c r="C110" s="113">
        <v>1</v>
      </c>
      <c r="D110" s="145">
        <f t="shared" si="13"/>
        <v>0.7</v>
      </c>
      <c r="E110" s="142">
        <f>D110*$C$26/100</f>
        <v>0.7</v>
      </c>
      <c r="F110" s="14" t="s">
        <v>36</v>
      </c>
      <c r="G110" s="108"/>
      <c r="H110" s="15">
        <f>D110*G110/100</f>
        <v>0</v>
      </c>
      <c r="J110" s="90" t="s">
        <v>2</v>
      </c>
      <c r="K110" s="444">
        <v>4</v>
      </c>
      <c r="L110" s="414">
        <v>1.08</v>
      </c>
      <c r="M110" s="145">
        <f t="shared" si="14"/>
        <v>4.32</v>
      </c>
      <c r="N110" s="142">
        <f>M110*C26/1000</f>
        <v>0.432</v>
      </c>
      <c r="O110" s="14" t="s">
        <v>25</v>
      </c>
      <c r="P110" s="106"/>
      <c r="Q110" s="15">
        <f t="shared" si="15"/>
        <v>0</v>
      </c>
      <c r="T110" s="104" t="s">
        <v>53</v>
      </c>
      <c r="U110" s="96">
        <v>0.5</v>
      </c>
      <c r="V110" s="107">
        <v>1.18</v>
      </c>
      <c r="W110" s="145">
        <f>U110*V110</f>
        <v>0.59</v>
      </c>
      <c r="X110" s="142">
        <f>W110*C26/1000</f>
        <v>5.8999999999999997E-2</v>
      </c>
      <c r="Y110" s="91" t="s">
        <v>25</v>
      </c>
      <c r="Z110" s="108"/>
      <c r="AA110" s="15">
        <f t="shared" si="16"/>
        <v>0</v>
      </c>
    </row>
    <row r="111" spans="1:27" ht="15" customHeight="1" x14ac:dyDescent="0.25">
      <c r="A111" s="104" t="s">
        <v>5</v>
      </c>
      <c r="B111" s="96">
        <v>0.5</v>
      </c>
      <c r="C111" s="113">
        <v>1</v>
      </c>
      <c r="D111" s="145">
        <f t="shared" si="13"/>
        <v>0.5</v>
      </c>
      <c r="E111" s="142">
        <f>D111*$C$26/1000</f>
        <v>0.05</v>
      </c>
      <c r="F111" s="14" t="s">
        <v>25</v>
      </c>
      <c r="G111" s="108"/>
      <c r="H111" s="15">
        <f t="shared" ref="H111:H112" si="19">D111*G111/1000</f>
        <v>0</v>
      </c>
      <c r="J111" s="90" t="s">
        <v>127</v>
      </c>
      <c r="K111" s="96">
        <v>2</v>
      </c>
      <c r="L111" s="414">
        <v>1</v>
      </c>
      <c r="M111" s="141">
        <f t="shared" si="14"/>
        <v>2</v>
      </c>
      <c r="N111" s="142">
        <f>M111*C26/900</f>
        <v>0.22222222222222221</v>
      </c>
      <c r="O111" s="14" t="s">
        <v>40</v>
      </c>
      <c r="P111" s="106"/>
      <c r="Q111" s="15">
        <f>M111*P111/900</f>
        <v>0</v>
      </c>
      <c r="T111" s="104" t="s">
        <v>10</v>
      </c>
      <c r="U111" s="443">
        <v>8</v>
      </c>
      <c r="V111" s="113">
        <v>1.18</v>
      </c>
      <c r="W111" s="145">
        <f t="shared" ref="W111:W112" si="20">U111*V111</f>
        <v>9.44</v>
      </c>
      <c r="X111" s="39">
        <f>W111*$C$26/1000</f>
        <v>0.94399999999999995</v>
      </c>
      <c r="Y111" s="14" t="s">
        <v>25</v>
      </c>
      <c r="Z111" s="108"/>
      <c r="AA111" s="15">
        <f>W110*Z110/1000</f>
        <v>0</v>
      </c>
    </row>
    <row r="112" spans="1:27" ht="15.75" customHeight="1" x14ac:dyDescent="0.25">
      <c r="A112" s="104" t="s">
        <v>10</v>
      </c>
      <c r="B112" s="443">
        <v>8</v>
      </c>
      <c r="C112" s="113">
        <v>1.33</v>
      </c>
      <c r="D112" s="145">
        <f t="shared" si="13"/>
        <v>10.64</v>
      </c>
      <c r="E112" s="142">
        <f t="shared" ref="E112" si="21">D112*$C$26/1000</f>
        <v>1.0640000000000001</v>
      </c>
      <c r="F112" s="14" t="s">
        <v>25</v>
      </c>
      <c r="G112" s="108"/>
      <c r="H112" s="15">
        <f t="shared" si="19"/>
        <v>0</v>
      </c>
      <c r="Q112" s="47">
        <f>SUM(Q107:Q111)</f>
        <v>0</v>
      </c>
      <c r="T112" s="104" t="s">
        <v>2</v>
      </c>
      <c r="U112" s="444">
        <v>4</v>
      </c>
      <c r="V112" s="107">
        <v>1.08</v>
      </c>
      <c r="W112" s="145">
        <f t="shared" si="20"/>
        <v>4.32</v>
      </c>
      <c r="X112" s="142">
        <f>W112*C26/1000</f>
        <v>0.432</v>
      </c>
      <c r="Y112" s="91" t="s">
        <v>25</v>
      </c>
      <c r="Z112" s="108"/>
      <c r="AA112" s="15">
        <f>W111*Z111/1000</f>
        <v>0</v>
      </c>
    </row>
    <row r="113" spans="1:28" ht="15.75" customHeight="1" x14ac:dyDescent="0.25">
      <c r="A113" s="104" t="s">
        <v>128</v>
      </c>
      <c r="B113" s="96">
        <v>2</v>
      </c>
      <c r="C113" s="113">
        <v>1</v>
      </c>
      <c r="D113" s="141">
        <f t="shared" si="13"/>
        <v>2</v>
      </c>
      <c r="E113" s="142">
        <f>D113*$C$26/900</f>
        <v>0.22222222222222221</v>
      </c>
      <c r="F113" s="14" t="s">
        <v>40</v>
      </c>
      <c r="G113" s="108"/>
      <c r="H113" s="15">
        <f>D113*G113/900</f>
        <v>0</v>
      </c>
      <c r="J113" s="126"/>
      <c r="K113" s="126"/>
      <c r="L113" s="126"/>
      <c r="M113" s="126"/>
      <c r="T113" s="104" t="s">
        <v>127</v>
      </c>
      <c r="U113" s="96">
        <v>1</v>
      </c>
      <c r="V113" s="107">
        <v>1</v>
      </c>
      <c r="W113" s="144">
        <f>U113*V113</f>
        <v>1</v>
      </c>
      <c r="X113" s="142">
        <f>W113*C26/900</f>
        <v>0.1111111111111111</v>
      </c>
      <c r="Y113" s="14" t="s">
        <v>40</v>
      </c>
      <c r="Z113" s="108"/>
      <c r="AA113" s="15">
        <f>W112*Z112/1000</f>
        <v>0</v>
      </c>
    </row>
    <row r="114" spans="1:28" ht="15.75" customHeight="1" x14ac:dyDescent="0.25">
      <c r="A114" s="156"/>
      <c r="B114" s="121"/>
      <c r="C114" s="152"/>
      <c r="D114" s="495"/>
      <c r="E114" s="496"/>
      <c r="F114" s="118"/>
      <c r="G114" s="147"/>
      <c r="H114" s="150">
        <f>SUM(H107:H113)</f>
        <v>0</v>
      </c>
      <c r="J114" s="126"/>
      <c r="K114" s="126"/>
      <c r="L114" s="126"/>
      <c r="M114" s="126"/>
      <c r="T114" s="104" t="s">
        <v>12</v>
      </c>
      <c r="U114" s="96">
        <v>0.4</v>
      </c>
      <c r="V114" s="107">
        <v>1.35</v>
      </c>
      <c r="W114" s="144">
        <f t="shared" ref="W114:W115" si="22">U114*V114</f>
        <v>0.54</v>
      </c>
      <c r="X114" s="142">
        <f>W114*C26/30</f>
        <v>1.8</v>
      </c>
      <c r="Y114" s="91" t="s">
        <v>109</v>
      </c>
      <c r="Z114" s="108"/>
      <c r="AA114" s="15">
        <f>W113*Z113/30</f>
        <v>0</v>
      </c>
    </row>
    <row r="115" spans="1:28" x14ac:dyDescent="0.25">
      <c r="A115" s="120"/>
      <c r="B115" s="99"/>
      <c r="C115" s="99"/>
      <c r="D115" s="99"/>
      <c r="E115" s="146"/>
      <c r="F115" s="118"/>
      <c r="G115" s="147"/>
      <c r="H115" s="46"/>
      <c r="T115" s="104" t="s">
        <v>5</v>
      </c>
      <c r="U115" s="96">
        <v>0.5</v>
      </c>
      <c r="V115" s="107">
        <v>1</v>
      </c>
      <c r="W115" s="144">
        <f t="shared" si="22"/>
        <v>0.5</v>
      </c>
      <c r="X115" s="142">
        <f>W115*C26/1000</f>
        <v>0.05</v>
      </c>
      <c r="Y115" s="91" t="s">
        <v>25</v>
      </c>
      <c r="Z115" s="108"/>
      <c r="AA115" s="15">
        <f>W114*Z114/1000</f>
        <v>0</v>
      </c>
    </row>
    <row r="116" spans="1:28" ht="15" customHeight="1" x14ac:dyDescent="0.25">
      <c r="AA116" s="47">
        <f>SUM(AA107:AA115)</f>
        <v>0</v>
      </c>
    </row>
    <row r="117" spans="1:28" x14ac:dyDescent="0.25">
      <c r="J117" s="452"/>
      <c r="K117" s="452"/>
      <c r="L117" s="452"/>
      <c r="M117" s="452"/>
      <c r="N117" s="452"/>
      <c r="O117" s="452"/>
      <c r="P117" s="452"/>
    </row>
    <row r="118" spans="1:28" ht="15.75" thickBot="1" x14ac:dyDescent="0.3">
      <c r="I118" s="148"/>
      <c r="J118" s="415"/>
      <c r="K118" s="130"/>
      <c r="L118" s="130"/>
      <c r="M118" s="130"/>
      <c r="N118" s="452"/>
      <c r="O118" s="129"/>
    </row>
    <row r="119" spans="1:28" ht="19.5" thickBot="1" x14ac:dyDescent="0.3">
      <c r="I119" s="129"/>
      <c r="J119" s="131"/>
      <c r="K119" s="131"/>
      <c r="L119" s="131"/>
      <c r="M119" s="131"/>
      <c r="N119" s="12"/>
      <c r="O119" s="132"/>
      <c r="P119" s="572" t="s">
        <v>95</v>
      </c>
      <c r="Q119" s="573"/>
      <c r="R119" s="574">
        <f>H101+H114+Q112+AA116</f>
        <v>0</v>
      </c>
      <c r="S119" s="575"/>
      <c r="T119" s="85"/>
      <c r="U119" s="85"/>
      <c r="V119" s="85"/>
      <c r="W119" s="85"/>
      <c r="X119" s="85"/>
      <c r="Y119" s="85"/>
      <c r="Z119" s="85"/>
      <c r="AB119" s="85"/>
    </row>
    <row r="120" spans="1:28" x14ac:dyDescent="0.25">
      <c r="A120" s="151"/>
      <c r="B120" s="152"/>
      <c r="C120" s="152"/>
      <c r="D120" s="152"/>
      <c r="E120" s="153"/>
      <c r="F120" s="12"/>
      <c r="G120" s="41"/>
      <c r="H120" s="41"/>
      <c r="I120" s="129"/>
      <c r="J120" s="131"/>
      <c r="K120" s="131"/>
      <c r="L120" s="131"/>
      <c r="M120" s="131"/>
      <c r="N120" s="12"/>
      <c r="O120" s="132"/>
      <c r="P120" s="41"/>
      <c r="S120" s="85"/>
      <c r="T120" s="85"/>
      <c r="U120" s="85"/>
      <c r="V120" s="85"/>
      <c r="W120" s="85"/>
      <c r="X120" s="85"/>
      <c r="Y120" s="85"/>
      <c r="Z120" s="85"/>
      <c r="AB120" s="85"/>
    </row>
    <row r="121" spans="1:28" s="124" customFormat="1" ht="18" customHeight="1" x14ac:dyDescent="0.25">
      <c r="I121" s="164"/>
      <c r="R121" s="164"/>
      <c r="S121" s="79"/>
      <c r="AA121" s="100"/>
    </row>
    <row r="122" spans="1:28" s="85" customFormat="1" ht="30" customHeight="1" x14ac:dyDescent="0.25">
      <c r="A122" s="576" t="s">
        <v>21</v>
      </c>
      <c r="B122" s="576"/>
      <c r="C122" s="576"/>
      <c r="D122" s="576"/>
      <c r="E122" s="576"/>
      <c r="F122" s="576"/>
      <c r="G122" s="576"/>
      <c r="H122" s="576"/>
      <c r="I122" s="576"/>
      <c r="J122" s="576"/>
      <c r="K122" s="576"/>
      <c r="L122" s="576"/>
      <c r="M122" s="576"/>
      <c r="N122" s="576"/>
      <c r="O122" s="576"/>
      <c r="P122" s="576"/>
      <c r="Q122" s="576"/>
      <c r="R122" s="576"/>
      <c r="S122" s="576"/>
      <c r="T122" s="576"/>
      <c r="U122" s="576"/>
      <c r="V122" s="576"/>
      <c r="W122" s="576"/>
      <c r="X122" s="576"/>
      <c r="Y122" s="576"/>
      <c r="Z122" s="576"/>
      <c r="AA122" s="576"/>
    </row>
    <row r="123" spans="1:28" s="85" customFormat="1" x14ac:dyDescent="0.25">
      <c r="A123" s="124"/>
      <c r="B123" s="124"/>
      <c r="C123" s="124"/>
      <c r="D123" s="124"/>
      <c r="E123" s="124"/>
      <c r="F123" s="124"/>
      <c r="G123" s="124"/>
      <c r="H123" s="124"/>
      <c r="M123" s="79"/>
      <c r="N123" s="79"/>
      <c r="O123" s="79"/>
      <c r="P123" s="79"/>
      <c r="Q123" s="79"/>
      <c r="T123" s="79"/>
      <c r="U123" s="79"/>
      <c r="V123" s="79"/>
      <c r="W123" s="79"/>
      <c r="X123" s="79"/>
      <c r="Y123" s="79"/>
      <c r="Z123" s="79"/>
    </row>
    <row r="124" spans="1:28" s="85" customFormat="1" x14ac:dyDescent="0.25">
      <c r="A124" s="577" t="s">
        <v>59</v>
      </c>
      <c r="B124" s="577"/>
      <c r="C124" s="577"/>
      <c r="D124" s="577"/>
      <c r="E124" s="577"/>
      <c r="F124" s="577"/>
      <c r="G124" s="577"/>
      <c r="H124" s="577"/>
      <c r="I124" s="577"/>
      <c r="J124" s="577"/>
      <c r="K124" s="577"/>
      <c r="L124" s="577"/>
      <c r="M124" s="577"/>
      <c r="N124" s="577"/>
      <c r="O124" s="577"/>
      <c r="P124" s="577"/>
      <c r="Q124" s="577"/>
      <c r="R124" s="577"/>
      <c r="S124" s="577"/>
      <c r="T124" s="577"/>
      <c r="U124" s="577"/>
      <c r="V124" s="577"/>
      <c r="W124" s="577"/>
      <c r="X124" s="577"/>
      <c r="Y124" s="577"/>
      <c r="Z124" s="577"/>
      <c r="AA124" s="577"/>
    </row>
    <row r="125" spans="1:28" s="85" customFormat="1" ht="15.75" thickBot="1" x14ac:dyDescent="0.3">
      <c r="A125" s="100"/>
      <c r="B125" s="100"/>
      <c r="C125" s="100"/>
      <c r="D125" s="100"/>
      <c r="E125" s="100"/>
      <c r="F125" s="100"/>
      <c r="G125" s="100"/>
      <c r="H125" s="100"/>
      <c r="J125" s="452"/>
      <c r="K125" s="452"/>
      <c r="L125" s="452"/>
    </row>
    <row r="126" spans="1:28" s="85" customFormat="1" ht="15.75" thickBot="1" x14ac:dyDescent="0.3">
      <c r="A126" s="566" t="s">
        <v>110</v>
      </c>
      <c r="B126" s="567"/>
      <c r="C126" s="567"/>
      <c r="D126" s="567"/>
      <c r="E126" s="567"/>
      <c r="F126" s="567"/>
      <c r="G126" s="567"/>
      <c r="H126" s="568"/>
      <c r="J126" s="566" t="s">
        <v>198</v>
      </c>
      <c r="K126" s="567"/>
      <c r="L126" s="567"/>
      <c r="M126" s="567"/>
      <c r="N126" s="567"/>
      <c r="O126" s="567"/>
      <c r="P126" s="567"/>
      <c r="Q126" s="568"/>
    </row>
    <row r="127" spans="1:28" s="85" customFormat="1" ht="25.5" x14ac:dyDescent="0.25">
      <c r="A127" s="101" t="s">
        <v>13</v>
      </c>
      <c r="B127" s="102" t="s">
        <v>45</v>
      </c>
      <c r="C127" s="103" t="s">
        <v>107</v>
      </c>
      <c r="D127" s="103" t="s">
        <v>108</v>
      </c>
      <c r="E127" s="569" t="s">
        <v>15</v>
      </c>
      <c r="F127" s="570"/>
      <c r="G127" s="101" t="s">
        <v>0</v>
      </c>
      <c r="H127" s="101" t="s">
        <v>1</v>
      </c>
      <c r="J127" s="101" t="s">
        <v>13</v>
      </c>
      <c r="K127" s="102" t="s">
        <v>45</v>
      </c>
      <c r="L127" s="103" t="s">
        <v>107</v>
      </c>
      <c r="M127" s="103" t="s">
        <v>108</v>
      </c>
      <c r="N127" s="569" t="s">
        <v>15</v>
      </c>
      <c r="O127" s="570"/>
      <c r="P127" s="101" t="s">
        <v>0</v>
      </c>
      <c r="Q127" s="101" t="s">
        <v>1</v>
      </c>
      <c r="AA127" s="79"/>
    </row>
    <row r="128" spans="1:28" s="124" customFormat="1" x14ac:dyDescent="0.25">
      <c r="A128" s="90" t="s">
        <v>48</v>
      </c>
      <c r="B128" s="92">
        <v>150</v>
      </c>
      <c r="C128" s="92">
        <v>1</v>
      </c>
      <c r="D128" s="92">
        <f>B128*C128</f>
        <v>150</v>
      </c>
      <c r="E128" s="4">
        <f>D128*$C$26/1000</f>
        <v>15</v>
      </c>
      <c r="F128" s="14" t="s">
        <v>37</v>
      </c>
      <c r="G128" s="106"/>
      <c r="H128" s="95">
        <f>D128*G128/1000</f>
        <v>0</v>
      </c>
      <c r="I128" s="85"/>
      <c r="J128" s="428" t="s">
        <v>213</v>
      </c>
      <c r="K128" s="91">
        <v>15</v>
      </c>
      <c r="L128" s="92">
        <v>1</v>
      </c>
      <c r="M128" s="92">
        <f>K128*L128</f>
        <v>15</v>
      </c>
      <c r="N128" s="4">
        <f>M128*$C$26/400</f>
        <v>3.75</v>
      </c>
      <c r="O128" s="14" t="s">
        <v>152</v>
      </c>
      <c r="P128" s="106"/>
      <c r="Q128" s="95">
        <f>M128*P128/400</f>
        <v>0</v>
      </c>
      <c r="R128" s="85"/>
      <c r="S128" s="85"/>
      <c r="T128" s="85"/>
      <c r="U128" s="85"/>
      <c r="V128" s="85"/>
      <c r="W128" s="85"/>
      <c r="X128" s="85"/>
      <c r="Y128" s="85"/>
      <c r="Z128" s="85"/>
      <c r="AA128" s="100"/>
    </row>
    <row r="129" spans="1:27" s="124" customFormat="1" x14ac:dyDescent="0.25">
      <c r="A129" s="126"/>
      <c r="B129" s="118"/>
      <c r="C129" s="118"/>
      <c r="D129" s="118"/>
      <c r="E129" s="154"/>
      <c r="F129" s="118"/>
      <c r="G129" s="132"/>
      <c r="H129" s="47">
        <f>SUM(H128)</f>
        <v>0</v>
      </c>
      <c r="I129" s="85"/>
      <c r="J129" s="126"/>
      <c r="K129" s="118"/>
      <c r="L129" s="118"/>
      <c r="M129" s="118"/>
      <c r="N129" s="154"/>
      <c r="O129" s="118"/>
      <c r="P129" s="132"/>
      <c r="Q129" s="47">
        <f>SUM(Q128)</f>
        <v>0</v>
      </c>
      <c r="R129" s="79"/>
      <c r="S129" s="85"/>
      <c r="T129" s="85"/>
      <c r="U129" s="85"/>
      <c r="V129" s="85"/>
      <c r="W129" s="85"/>
      <c r="X129" s="85"/>
      <c r="Y129" s="85"/>
      <c r="Z129" s="85"/>
      <c r="AA129" s="100"/>
    </row>
    <row r="130" spans="1:27" s="124" customFormat="1" x14ac:dyDescent="0.25">
      <c r="A130" s="126"/>
      <c r="B130" s="115"/>
      <c r="C130" s="115"/>
      <c r="D130" s="115"/>
      <c r="E130" s="127"/>
      <c r="F130" s="115"/>
      <c r="G130" s="128"/>
      <c r="H130" s="42"/>
      <c r="I130" s="85"/>
      <c r="J130" s="452"/>
      <c r="K130" s="452"/>
      <c r="L130" s="452"/>
      <c r="M130" s="452"/>
      <c r="N130" s="133"/>
      <c r="O130" s="12"/>
      <c r="P130" s="338"/>
      <c r="Q130" s="40"/>
    </row>
    <row r="132" spans="1:27" x14ac:dyDescent="0.25">
      <c r="A132" s="577" t="s">
        <v>60</v>
      </c>
      <c r="B132" s="577"/>
      <c r="C132" s="577"/>
      <c r="D132" s="577"/>
      <c r="E132" s="577"/>
      <c r="F132" s="577"/>
      <c r="G132" s="577"/>
      <c r="H132" s="577"/>
      <c r="I132" s="577"/>
      <c r="J132" s="577"/>
      <c r="K132" s="577"/>
      <c r="L132" s="577"/>
      <c r="M132" s="577"/>
      <c r="N132" s="577"/>
      <c r="O132" s="577"/>
      <c r="P132" s="577"/>
      <c r="Q132" s="577"/>
      <c r="R132" s="577"/>
      <c r="S132" s="577"/>
      <c r="T132" s="577"/>
      <c r="U132" s="577"/>
      <c r="V132" s="577"/>
      <c r="W132" s="577"/>
      <c r="X132" s="577"/>
      <c r="Y132" s="577"/>
      <c r="Z132" s="577"/>
      <c r="AA132" s="577"/>
    </row>
    <row r="133" spans="1:27" ht="15.75" thickBot="1" x14ac:dyDescent="0.3">
      <c r="A133" s="100"/>
      <c r="B133" s="100"/>
      <c r="C133" s="100"/>
      <c r="D133" s="100"/>
      <c r="E133" s="100"/>
      <c r="F133" s="100"/>
      <c r="G133" s="100"/>
      <c r="H133" s="100"/>
      <c r="J133" s="100"/>
      <c r="K133" s="100"/>
      <c r="L133" s="100"/>
      <c r="R133" s="100"/>
      <c r="S133" s="124"/>
    </row>
    <row r="134" spans="1:27" ht="15.75" thickBot="1" x14ac:dyDescent="0.3">
      <c r="A134" s="566" t="s">
        <v>70</v>
      </c>
      <c r="B134" s="567"/>
      <c r="C134" s="567"/>
      <c r="D134" s="567"/>
      <c r="E134" s="567"/>
      <c r="F134" s="567"/>
      <c r="G134" s="567"/>
      <c r="H134" s="568"/>
      <c r="J134" s="566" t="s">
        <v>61</v>
      </c>
      <c r="K134" s="567"/>
      <c r="L134" s="567"/>
      <c r="M134" s="567"/>
      <c r="N134" s="567"/>
      <c r="O134" s="567"/>
      <c r="P134" s="567"/>
      <c r="Q134" s="568"/>
      <c r="R134" s="124"/>
      <c r="S134" s="100"/>
      <c r="T134" s="100"/>
      <c r="U134" s="100"/>
      <c r="V134" s="100"/>
      <c r="W134" s="100"/>
      <c r="X134" s="100"/>
      <c r="Y134" s="100"/>
      <c r="Z134" s="100"/>
    </row>
    <row r="135" spans="1:27" ht="25.5" x14ac:dyDescent="0.25">
      <c r="A135" s="102" t="s">
        <v>13</v>
      </c>
      <c r="B135" s="102" t="s">
        <v>14</v>
      </c>
      <c r="C135" s="103" t="s">
        <v>107</v>
      </c>
      <c r="D135" s="103" t="s">
        <v>108</v>
      </c>
      <c r="E135" s="569" t="s">
        <v>15</v>
      </c>
      <c r="F135" s="570"/>
      <c r="G135" s="101" t="s">
        <v>0</v>
      </c>
      <c r="H135" s="101" t="s">
        <v>1</v>
      </c>
      <c r="J135" s="101" t="s">
        <v>13</v>
      </c>
      <c r="K135" s="102" t="s">
        <v>45</v>
      </c>
      <c r="L135" s="102" t="s">
        <v>107</v>
      </c>
      <c r="M135" s="103" t="s">
        <v>108</v>
      </c>
      <c r="N135" s="579" t="s">
        <v>15</v>
      </c>
      <c r="O135" s="580"/>
      <c r="P135" s="101" t="s">
        <v>0</v>
      </c>
      <c r="Q135" s="101" t="s">
        <v>1</v>
      </c>
      <c r="R135" s="124"/>
      <c r="S135" s="100"/>
      <c r="T135" s="100"/>
      <c r="U135" s="100"/>
      <c r="V135" s="100"/>
      <c r="W135" s="100"/>
      <c r="X135" s="100"/>
      <c r="Y135" s="100"/>
      <c r="Z135" s="100"/>
    </row>
    <row r="136" spans="1:27" x14ac:dyDescent="0.25">
      <c r="A136" s="8" t="s">
        <v>66</v>
      </c>
      <c r="B136" s="96">
        <v>25</v>
      </c>
      <c r="C136" s="113">
        <v>1.21</v>
      </c>
      <c r="D136" s="105">
        <f>B136*C136</f>
        <v>30.25</v>
      </c>
      <c r="E136" s="39">
        <f>D136*$C$26/1000</f>
        <v>3.0249999999999999</v>
      </c>
      <c r="F136" s="57" t="s">
        <v>16</v>
      </c>
      <c r="G136" s="106"/>
      <c r="H136" s="15">
        <f>D136*G136/1000</f>
        <v>0</v>
      </c>
      <c r="J136" s="90" t="s">
        <v>49</v>
      </c>
      <c r="K136" s="91">
        <v>20</v>
      </c>
      <c r="L136" s="414">
        <v>1</v>
      </c>
      <c r="M136" s="141">
        <f>K136*L136</f>
        <v>20</v>
      </c>
      <c r="N136" s="497">
        <f>M136*$C$26/1000</f>
        <v>2</v>
      </c>
      <c r="O136" s="14" t="s">
        <v>25</v>
      </c>
      <c r="P136" s="106"/>
      <c r="Q136" s="15">
        <f>M136*P136/1000</f>
        <v>0</v>
      </c>
      <c r="R136" s="124"/>
      <c r="S136" s="100"/>
      <c r="T136" s="100"/>
      <c r="U136" s="100"/>
      <c r="V136" s="100"/>
      <c r="W136" s="100"/>
      <c r="X136" s="100"/>
      <c r="Y136" s="100"/>
      <c r="Z136" s="100"/>
    </row>
    <row r="137" spans="1:27" x14ac:dyDescent="0.25">
      <c r="A137" s="8" t="s">
        <v>2</v>
      </c>
      <c r="B137" s="442">
        <v>4</v>
      </c>
      <c r="C137" s="113">
        <v>1.08</v>
      </c>
      <c r="D137" s="112">
        <f>B137*C137</f>
        <v>4.32</v>
      </c>
      <c r="E137" s="39">
        <f>D137*$C$26/1000</f>
        <v>0.432</v>
      </c>
      <c r="F137" s="57" t="s">
        <v>16</v>
      </c>
      <c r="G137" s="106"/>
      <c r="H137" s="15">
        <f t="shared" ref="H137:H146" si="23">D137*G137/1000</f>
        <v>0</v>
      </c>
      <c r="J137" s="90" t="s">
        <v>5</v>
      </c>
      <c r="K137" s="96">
        <v>0.5</v>
      </c>
      <c r="L137" s="414">
        <v>1</v>
      </c>
      <c r="M137" s="145">
        <f t="shared" ref="M137:M140" si="24">K137*L137</f>
        <v>0.5</v>
      </c>
      <c r="N137" s="497">
        <f>M137*$C$26/1000</f>
        <v>0.05</v>
      </c>
      <c r="O137" s="14" t="s">
        <v>25</v>
      </c>
      <c r="P137" s="106"/>
      <c r="Q137" s="15">
        <f t="shared" ref="Q137:Q139" si="25">M137*P137/1000</f>
        <v>0</v>
      </c>
      <c r="R137" s="124"/>
      <c r="S137" s="100"/>
      <c r="T137" s="100"/>
      <c r="U137" s="100"/>
      <c r="V137" s="100"/>
      <c r="W137" s="100"/>
      <c r="X137" s="100"/>
      <c r="Y137" s="100"/>
      <c r="Z137" s="100"/>
    </row>
    <row r="138" spans="1:27" x14ac:dyDescent="0.25">
      <c r="A138" s="90" t="s">
        <v>9</v>
      </c>
      <c r="B138" s="91">
        <v>1</v>
      </c>
      <c r="C138" s="92">
        <v>1.43</v>
      </c>
      <c r="D138" s="105">
        <f t="shared" ref="D138:D146" si="26">B138*C138</f>
        <v>1.43</v>
      </c>
      <c r="E138" s="39">
        <f>D138*$C$26/1000</f>
        <v>0.14299999999999999</v>
      </c>
      <c r="F138" s="14" t="s">
        <v>25</v>
      </c>
      <c r="G138" s="106"/>
      <c r="H138" s="15">
        <f t="shared" si="23"/>
        <v>0</v>
      </c>
      <c r="J138" s="90" t="s">
        <v>3</v>
      </c>
      <c r="K138" s="91">
        <v>0.5</v>
      </c>
      <c r="L138" s="414">
        <v>1.18</v>
      </c>
      <c r="M138" s="145">
        <f t="shared" si="24"/>
        <v>0.59</v>
      </c>
      <c r="N138" s="497">
        <f>M138*$C$26/1000</f>
        <v>5.8999999999999997E-2</v>
      </c>
      <c r="O138" s="14" t="s">
        <v>25</v>
      </c>
      <c r="P138" s="106"/>
      <c r="Q138" s="15">
        <f t="shared" si="25"/>
        <v>0</v>
      </c>
      <c r="R138" s="124"/>
      <c r="S138" s="100"/>
      <c r="T138" s="100"/>
      <c r="U138" s="100"/>
      <c r="V138" s="100"/>
      <c r="W138" s="100"/>
      <c r="X138" s="100"/>
      <c r="Y138" s="100"/>
      <c r="Z138" s="100"/>
    </row>
    <row r="139" spans="1:27" x14ac:dyDescent="0.25">
      <c r="A139" s="104" t="s">
        <v>12</v>
      </c>
      <c r="B139" s="96">
        <v>0.4</v>
      </c>
      <c r="C139" s="113">
        <v>1.35</v>
      </c>
      <c r="D139" s="112">
        <f t="shared" si="26"/>
        <v>0.54</v>
      </c>
      <c r="E139" s="39">
        <f>D139*$C$26/30</f>
        <v>1.8</v>
      </c>
      <c r="F139" s="91" t="s">
        <v>109</v>
      </c>
      <c r="G139" s="106"/>
      <c r="H139" s="15">
        <f>D139*G139/30</f>
        <v>0</v>
      </c>
      <c r="J139" s="90" t="s">
        <v>2</v>
      </c>
      <c r="K139" s="446">
        <v>4</v>
      </c>
      <c r="L139" s="414">
        <v>1.08</v>
      </c>
      <c r="M139" s="145">
        <f t="shared" si="24"/>
        <v>4.32</v>
      </c>
      <c r="N139" s="497">
        <f>M139*$C$26/1000</f>
        <v>0.432</v>
      </c>
      <c r="O139" s="14" t="s">
        <v>25</v>
      </c>
      <c r="P139" s="106"/>
      <c r="Q139" s="15">
        <f t="shared" si="25"/>
        <v>0</v>
      </c>
      <c r="R139" s="124"/>
      <c r="S139" s="100"/>
      <c r="T139" s="100"/>
      <c r="U139" s="100"/>
      <c r="V139" s="100"/>
      <c r="W139" s="100"/>
      <c r="X139" s="100"/>
      <c r="Y139" s="100"/>
      <c r="Z139" s="100"/>
    </row>
    <row r="140" spans="1:27" x14ac:dyDescent="0.25">
      <c r="A140" s="8" t="s">
        <v>3</v>
      </c>
      <c r="B140" s="91">
        <v>0.5</v>
      </c>
      <c r="C140" s="92">
        <v>1.18</v>
      </c>
      <c r="D140" s="112">
        <f t="shared" si="26"/>
        <v>0.59</v>
      </c>
      <c r="E140" s="39">
        <f>D140*$C$26/1000</f>
        <v>5.8999999999999997E-2</v>
      </c>
      <c r="F140" s="155" t="s">
        <v>16</v>
      </c>
      <c r="G140" s="106"/>
      <c r="H140" s="15">
        <f t="shared" si="23"/>
        <v>0</v>
      </c>
      <c r="J140" s="90" t="s">
        <v>127</v>
      </c>
      <c r="K140" s="96">
        <v>2</v>
      </c>
      <c r="L140" s="414">
        <v>1</v>
      </c>
      <c r="M140" s="145">
        <f t="shared" si="24"/>
        <v>2</v>
      </c>
      <c r="N140" s="494">
        <f>M140*$C$26/900</f>
        <v>0.22222222222222221</v>
      </c>
      <c r="O140" s="14" t="s">
        <v>40</v>
      </c>
      <c r="P140" s="106"/>
      <c r="Q140" s="15">
        <f>M140*P140/900</f>
        <v>0</v>
      </c>
      <c r="R140" s="156"/>
      <c r="S140" s="100"/>
      <c r="T140" s="452"/>
      <c r="U140" s="452"/>
      <c r="V140" s="452"/>
      <c r="W140" s="452"/>
      <c r="X140" s="452"/>
      <c r="Y140" s="452"/>
    </row>
    <row r="141" spans="1:27" x14ac:dyDescent="0.25">
      <c r="A141" s="8" t="s">
        <v>4</v>
      </c>
      <c r="B141" s="96">
        <v>2</v>
      </c>
      <c r="C141" s="113">
        <v>1</v>
      </c>
      <c r="D141" s="113">
        <f t="shared" si="26"/>
        <v>2</v>
      </c>
      <c r="E141" s="39">
        <f>D141*$C$26/900</f>
        <v>0.22222222222222221</v>
      </c>
      <c r="F141" s="155" t="s">
        <v>131</v>
      </c>
      <c r="G141" s="106"/>
      <c r="H141" s="15">
        <f>D141*G141/900</f>
        <v>0</v>
      </c>
      <c r="M141" s="89"/>
      <c r="Q141" s="47">
        <f>SUM(Q136:Q140)</f>
        <v>0</v>
      </c>
      <c r="R141" s="452"/>
      <c r="S141" s="452"/>
      <c r="T141" s="452"/>
      <c r="U141" s="452"/>
      <c r="V141" s="452"/>
      <c r="W141" s="452"/>
      <c r="X141" s="129"/>
      <c r="Y141" s="129"/>
    </row>
    <row r="142" spans="1:27" ht="15.75" thickBot="1" x14ac:dyDescent="0.3">
      <c r="A142" s="8" t="s">
        <v>5</v>
      </c>
      <c r="B142" s="96">
        <v>0.5</v>
      </c>
      <c r="C142" s="113">
        <v>1</v>
      </c>
      <c r="D142" s="113">
        <f t="shared" si="26"/>
        <v>0.5</v>
      </c>
      <c r="E142" s="39">
        <f>D142*$C$26/1000</f>
        <v>0.05</v>
      </c>
      <c r="F142" s="57" t="s">
        <v>16</v>
      </c>
      <c r="G142" s="106"/>
      <c r="H142" s="15">
        <f t="shared" si="23"/>
        <v>0</v>
      </c>
      <c r="M142" s="89"/>
      <c r="N142" s="89"/>
      <c r="O142" s="157"/>
      <c r="P142" s="157"/>
      <c r="Q142" s="120"/>
      <c r="R142" s="129"/>
      <c r="S142" s="130"/>
      <c r="T142" s="133"/>
      <c r="U142" s="133"/>
      <c r="V142" s="133"/>
      <c r="W142" s="12"/>
      <c r="X142" s="132"/>
      <c r="Y142" s="41"/>
    </row>
    <row r="143" spans="1:27" ht="15.75" thickBot="1" x14ac:dyDescent="0.3">
      <c r="A143" s="8" t="s">
        <v>6</v>
      </c>
      <c r="B143" s="96">
        <v>0.7</v>
      </c>
      <c r="C143" s="113">
        <v>1</v>
      </c>
      <c r="D143" s="112">
        <f t="shared" si="26"/>
        <v>0.7</v>
      </c>
      <c r="E143" s="39">
        <f>D143*$C$26/100</f>
        <v>0.7</v>
      </c>
      <c r="F143" s="57" t="s">
        <v>132</v>
      </c>
      <c r="G143" s="106"/>
      <c r="H143" s="15">
        <f>D143*G143/100</f>
        <v>0</v>
      </c>
      <c r="J143" s="566" t="s">
        <v>147</v>
      </c>
      <c r="K143" s="567"/>
      <c r="L143" s="567"/>
      <c r="M143" s="567"/>
      <c r="N143" s="567"/>
      <c r="O143" s="567"/>
      <c r="P143" s="567"/>
      <c r="Q143" s="568"/>
      <c r="R143" s="38"/>
      <c r="S143" s="12"/>
      <c r="T143" s="133"/>
      <c r="U143" s="133"/>
      <c r="V143" s="133"/>
      <c r="W143" s="12"/>
      <c r="X143" s="132"/>
      <c r="Y143" s="41"/>
    </row>
    <row r="144" spans="1:27" ht="25.5" x14ac:dyDescent="0.25">
      <c r="A144" s="8" t="s">
        <v>10</v>
      </c>
      <c r="B144" s="443">
        <v>8</v>
      </c>
      <c r="C144" s="113">
        <v>1.18</v>
      </c>
      <c r="D144" s="112">
        <f t="shared" si="26"/>
        <v>9.44</v>
      </c>
      <c r="E144" s="39">
        <f>D144*$C$26/1000</f>
        <v>0.94399999999999995</v>
      </c>
      <c r="F144" s="14" t="s">
        <v>25</v>
      </c>
      <c r="G144" s="108"/>
      <c r="H144" s="15">
        <f t="shared" si="23"/>
        <v>0</v>
      </c>
      <c r="J144" s="101" t="s">
        <v>13</v>
      </c>
      <c r="K144" s="102" t="s">
        <v>45</v>
      </c>
      <c r="L144" s="102" t="s">
        <v>107</v>
      </c>
      <c r="M144" s="102" t="s">
        <v>108</v>
      </c>
      <c r="N144" s="579" t="s">
        <v>15</v>
      </c>
      <c r="O144" s="580"/>
      <c r="P144" s="101" t="s">
        <v>0</v>
      </c>
      <c r="Q144" s="101" t="s">
        <v>1</v>
      </c>
      <c r="R144" s="158"/>
      <c r="S144" s="12"/>
      <c r="T144" s="133"/>
      <c r="U144" s="133"/>
      <c r="V144" s="133"/>
      <c r="W144" s="12"/>
      <c r="X144" s="132"/>
      <c r="Y144" s="41"/>
    </row>
    <row r="145" spans="1:27" x14ac:dyDescent="0.25">
      <c r="A145" s="8" t="s">
        <v>52</v>
      </c>
      <c r="B145" s="96">
        <v>20</v>
      </c>
      <c r="C145" s="113">
        <v>1.1599999999999999</v>
      </c>
      <c r="D145" s="105">
        <f t="shared" si="26"/>
        <v>23.2</v>
      </c>
      <c r="E145" s="39">
        <f>D145*$C$26/1000</f>
        <v>2.3199999999999998</v>
      </c>
      <c r="F145" s="57" t="s">
        <v>16</v>
      </c>
      <c r="G145" s="106"/>
      <c r="H145" s="15">
        <f t="shared" si="23"/>
        <v>0</v>
      </c>
      <c r="J145" s="104" t="s">
        <v>147</v>
      </c>
      <c r="K145" s="91">
        <v>50</v>
      </c>
      <c r="L145" s="113">
        <v>1.95</v>
      </c>
      <c r="M145" s="113">
        <f>K145*L145</f>
        <v>97.5</v>
      </c>
      <c r="N145" s="417">
        <f>M145*$C$26/1000</f>
        <v>9.75</v>
      </c>
      <c r="O145" s="91" t="s">
        <v>25</v>
      </c>
      <c r="P145" s="110"/>
      <c r="Q145" s="110">
        <f>M145*P145/1000</f>
        <v>0</v>
      </c>
      <c r="R145" s="158"/>
      <c r="S145" s="12"/>
      <c r="T145" s="133"/>
      <c r="U145" s="133"/>
      <c r="V145" s="133"/>
      <c r="W145" s="12"/>
      <c r="X145" s="132"/>
      <c r="Y145" s="41"/>
    </row>
    <row r="146" spans="1:27" x14ac:dyDescent="0.25">
      <c r="A146" s="8" t="s">
        <v>11</v>
      </c>
      <c r="B146" s="442">
        <v>10</v>
      </c>
      <c r="C146" s="113">
        <v>1.35</v>
      </c>
      <c r="D146" s="105">
        <f t="shared" si="26"/>
        <v>13.5</v>
      </c>
      <c r="E146" s="39">
        <f>D146*$C$26/1000</f>
        <v>1.35</v>
      </c>
      <c r="F146" s="57" t="s">
        <v>16</v>
      </c>
      <c r="G146" s="106"/>
      <c r="H146" s="15">
        <f t="shared" si="23"/>
        <v>0</v>
      </c>
      <c r="I146" s="85"/>
      <c r="J146" s="396"/>
      <c r="K146" s="396"/>
      <c r="L146" s="396"/>
      <c r="M146" s="396"/>
      <c r="N146" s="399"/>
      <c r="O146" s="397"/>
      <c r="P146" s="404"/>
      <c r="Q146" s="47">
        <f>SUM(Q145)</f>
        <v>0</v>
      </c>
      <c r="R146" s="158"/>
      <c r="S146" s="12"/>
      <c r="T146" s="133"/>
      <c r="U146" s="133"/>
      <c r="V146" s="133"/>
      <c r="W146" s="12"/>
      <c r="X146" s="132"/>
      <c r="Y146" s="52"/>
    </row>
    <row r="147" spans="1:27" x14ac:dyDescent="0.25">
      <c r="A147" s="38"/>
      <c r="B147" s="121"/>
      <c r="C147" s="121"/>
      <c r="D147" s="418"/>
      <c r="E147" s="36"/>
      <c r="F147" s="455"/>
      <c r="G147" s="132"/>
      <c r="H147" s="150">
        <f>SUM(H136:H146)</f>
        <v>0</v>
      </c>
      <c r="I147" s="85"/>
      <c r="J147" s="120"/>
      <c r="K147" s="120"/>
      <c r="L147" s="120"/>
      <c r="M147" s="120"/>
      <c r="N147" s="131"/>
      <c r="O147" s="115"/>
      <c r="P147" s="128"/>
      <c r="Q147" s="46"/>
      <c r="R147" s="158"/>
      <c r="S147" s="12"/>
      <c r="T147" s="85"/>
      <c r="U147" s="85"/>
      <c r="V147" s="85"/>
      <c r="W147" s="85"/>
      <c r="X147" s="85"/>
      <c r="Y147" s="48"/>
    </row>
    <row r="148" spans="1:27" x14ac:dyDescent="0.25">
      <c r="H148" s="48"/>
      <c r="M148" s="120"/>
      <c r="N148" s="160"/>
      <c r="O148" s="12"/>
      <c r="P148" s="122"/>
      <c r="Q148" s="53"/>
      <c r="R148" s="85"/>
      <c r="S148" s="85"/>
      <c r="T148" s="161"/>
      <c r="U148" s="161"/>
      <c r="V148" s="161"/>
    </row>
    <row r="149" spans="1:27" ht="15.75" thickBot="1" x14ac:dyDescent="0.3">
      <c r="H149" s="46"/>
      <c r="R149" s="156"/>
      <c r="S149" s="152"/>
      <c r="T149" s="161"/>
      <c r="U149" s="161"/>
      <c r="V149" s="161"/>
    </row>
    <row r="150" spans="1:27" ht="15.75" thickBot="1" x14ac:dyDescent="0.3">
      <c r="A150" s="566" t="s">
        <v>120</v>
      </c>
      <c r="B150" s="567"/>
      <c r="C150" s="567"/>
      <c r="D150" s="567"/>
      <c r="E150" s="567"/>
      <c r="F150" s="567"/>
      <c r="G150" s="567"/>
      <c r="H150" s="568"/>
      <c r="R150" s="156"/>
      <c r="S150" s="152"/>
      <c r="T150" s="161"/>
      <c r="U150" s="161"/>
      <c r="V150" s="161"/>
    </row>
    <row r="151" spans="1:27" ht="42" customHeight="1" thickBot="1" x14ac:dyDescent="0.3">
      <c r="A151" s="101" t="s">
        <v>13</v>
      </c>
      <c r="B151" s="102" t="s">
        <v>45</v>
      </c>
      <c r="C151" s="102" t="s">
        <v>107</v>
      </c>
      <c r="D151" s="102" t="s">
        <v>108</v>
      </c>
      <c r="E151" s="579" t="s">
        <v>15</v>
      </c>
      <c r="F151" s="580"/>
      <c r="G151" s="101" t="s">
        <v>0</v>
      </c>
      <c r="H151" s="101" t="s">
        <v>1</v>
      </c>
      <c r="R151" s="156"/>
      <c r="S151" s="152"/>
      <c r="T151" s="161"/>
      <c r="U151" s="161"/>
      <c r="V151" s="161"/>
    </row>
    <row r="152" spans="1:27" ht="19.5" thickBot="1" x14ac:dyDescent="0.3">
      <c r="A152" s="104" t="s">
        <v>120</v>
      </c>
      <c r="B152" s="441">
        <v>25</v>
      </c>
      <c r="C152" s="113">
        <v>1.31</v>
      </c>
      <c r="D152" s="112">
        <f>B152*C152</f>
        <v>32.75</v>
      </c>
      <c r="E152" s="39">
        <f>D152*$C$26/1000</f>
        <v>3.2749999999999999</v>
      </c>
      <c r="F152" s="91" t="s">
        <v>25</v>
      </c>
      <c r="G152" s="108"/>
      <c r="H152" s="108">
        <f>D152*G152/1000</f>
        <v>0</v>
      </c>
      <c r="P152" s="572" t="s">
        <v>96</v>
      </c>
      <c r="Q152" s="573"/>
      <c r="R152" s="574">
        <f>SUM(H129,Q129,H147,H154,Q141,Q146)</f>
        <v>0</v>
      </c>
      <c r="S152" s="575"/>
      <c r="T152" s="161"/>
      <c r="U152" s="161"/>
      <c r="V152" s="161"/>
    </row>
    <row r="153" spans="1:27" x14ac:dyDescent="0.25">
      <c r="A153" s="104" t="s">
        <v>5</v>
      </c>
      <c r="B153" s="441">
        <v>0.5</v>
      </c>
      <c r="C153" s="113">
        <v>1</v>
      </c>
      <c r="D153" s="112">
        <f>B153*C153</f>
        <v>0.5</v>
      </c>
      <c r="E153" s="39">
        <f>D153*$C$26/1000</f>
        <v>0.05</v>
      </c>
      <c r="F153" s="91" t="s">
        <v>25</v>
      </c>
      <c r="G153" s="108"/>
      <c r="H153" s="108">
        <f>D153*G153/1000</f>
        <v>0</v>
      </c>
      <c r="R153" s="156"/>
      <c r="S153" s="152"/>
      <c r="T153" s="161"/>
      <c r="U153" s="161"/>
      <c r="V153" s="161"/>
    </row>
    <row r="154" spans="1:27" x14ac:dyDescent="0.25">
      <c r="A154" s="120"/>
      <c r="B154" s="483"/>
      <c r="C154" s="121"/>
      <c r="D154" s="485"/>
      <c r="E154" s="173"/>
      <c r="F154" s="12"/>
      <c r="G154" s="147"/>
      <c r="H154" s="162">
        <f>SUM(H152:H153)</f>
        <v>0</v>
      </c>
    </row>
    <row r="155" spans="1:27" x14ac:dyDescent="0.25">
      <c r="A155" s="120"/>
      <c r="B155" s="483"/>
      <c r="C155" s="121"/>
      <c r="D155" s="485"/>
      <c r="E155" s="173"/>
      <c r="F155" s="12"/>
      <c r="G155" s="147"/>
      <c r="H155" s="484"/>
    </row>
    <row r="156" spans="1:27" s="124" customFormat="1" ht="26.25" customHeight="1" x14ac:dyDescent="0.25">
      <c r="A156" s="576" t="s">
        <v>22</v>
      </c>
      <c r="B156" s="576"/>
      <c r="C156" s="576"/>
      <c r="D156" s="576"/>
      <c r="E156" s="576"/>
      <c r="F156" s="576"/>
      <c r="G156" s="576"/>
      <c r="H156" s="576"/>
      <c r="I156" s="576"/>
      <c r="J156" s="576"/>
      <c r="K156" s="576"/>
      <c r="L156" s="576"/>
      <c r="M156" s="576"/>
      <c r="N156" s="576"/>
      <c r="O156" s="576"/>
      <c r="P156" s="576"/>
      <c r="Q156" s="576"/>
      <c r="R156" s="576"/>
      <c r="S156" s="576"/>
      <c r="T156" s="576"/>
      <c r="U156" s="576"/>
      <c r="V156" s="576"/>
      <c r="W156" s="576"/>
      <c r="X156" s="576"/>
      <c r="Y156" s="576"/>
      <c r="Z156" s="576"/>
      <c r="AA156" s="576"/>
    </row>
    <row r="157" spans="1:27" s="124" customFormat="1" ht="14.25" customHeight="1" x14ac:dyDescent="0.25">
      <c r="A157" s="164"/>
      <c r="B157" s="164"/>
      <c r="C157" s="164"/>
      <c r="D157" s="164"/>
      <c r="E157" s="164"/>
      <c r="F157" s="164"/>
      <c r="G157" s="164"/>
      <c r="H157" s="164"/>
      <c r="I157" s="100"/>
      <c r="J157" s="79"/>
      <c r="K157" s="79"/>
      <c r="L157" s="79"/>
      <c r="T157" s="131"/>
      <c r="U157" s="131"/>
      <c r="V157" s="131"/>
      <c r="W157" s="131"/>
      <c r="X157" s="36"/>
      <c r="Y157" s="36"/>
      <c r="Z157" s="36"/>
      <c r="AA157" s="164"/>
    </row>
    <row r="158" spans="1:27" s="124" customFormat="1" ht="18" customHeight="1" x14ac:dyDescent="0.25">
      <c r="A158" s="577" t="s">
        <v>59</v>
      </c>
      <c r="B158" s="577"/>
      <c r="C158" s="577"/>
      <c r="D158" s="577"/>
      <c r="E158" s="577"/>
      <c r="F158" s="577"/>
      <c r="G158" s="577"/>
      <c r="H158" s="577"/>
      <c r="I158" s="577"/>
      <c r="J158" s="577"/>
      <c r="K158" s="577"/>
      <c r="L158" s="577"/>
      <c r="M158" s="577"/>
      <c r="N158" s="577"/>
      <c r="O158" s="577"/>
      <c r="P158" s="577"/>
      <c r="Q158" s="577"/>
      <c r="R158" s="577"/>
      <c r="S158" s="577"/>
      <c r="T158" s="577"/>
      <c r="U158" s="577"/>
      <c r="V158" s="577"/>
      <c r="W158" s="577"/>
      <c r="X158" s="577"/>
      <c r="Y158" s="577"/>
      <c r="Z158" s="577"/>
      <c r="AA158" s="577"/>
    </row>
    <row r="159" spans="1:27" s="124" customFormat="1" ht="15.75" customHeight="1" thickBot="1" x14ac:dyDescent="0.3">
      <c r="A159" s="79"/>
      <c r="B159" s="83"/>
      <c r="C159" s="83"/>
      <c r="D159" s="83"/>
      <c r="E159" s="83"/>
      <c r="F159" s="83"/>
      <c r="G159" s="79"/>
      <c r="H159" s="85"/>
      <c r="I159" s="79"/>
      <c r="J159" s="588"/>
      <c r="K159" s="588"/>
      <c r="L159" s="588"/>
      <c r="T159" s="456"/>
      <c r="U159" s="456"/>
      <c r="V159" s="456"/>
      <c r="W159" s="456"/>
      <c r="X159" s="456"/>
      <c r="Y159" s="456"/>
      <c r="Z159" s="456"/>
      <c r="AA159" s="100"/>
    </row>
    <row r="160" spans="1:27" s="124" customFormat="1" ht="15.75" customHeight="1" thickBot="1" x14ac:dyDescent="0.3">
      <c r="A160" s="566" t="s">
        <v>77</v>
      </c>
      <c r="B160" s="567"/>
      <c r="C160" s="567"/>
      <c r="D160" s="567"/>
      <c r="E160" s="567"/>
      <c r="F160" s="567"/>
      <c r="G160" s="567"/>
      <c r="H160" s="568"/>
      <c r="I160" s="100"/>
      <c r="J160" s="566" t="s">
        <v>214</v>
      </c>
      <c r="K160" s="567"/>
      <c r="L160" s="567"/>
      <c r="M160" s="567"/>
      <c r="N160" s="567"/>
      <c r="O160" s="567"/>
      <c r="P160" s="567"/>
      <c r="Q160" s="568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7" ht="25.5" x14ac:dyDescent="0.25">
      <c r="A161" s="101" t="s">
        <v>13</v>
      </c>
      <c r="B161" s="102" t="s">
        <v>45</v>
      </c>
      <c r="C161" s="102" t="s">
        <v>107</v>
      </c>
      <c r="D161" s="102" t="s">
        <v>108</v>
      </c>
      <c r="E161" s="578" t="s">
        <v>15</v>
      </c>
      <c r="F161" s="578"/>
      <c r="G161" s="101" t="s">
        <v>0</v>
      </c>
      <c r="H161" s="101" t="s">
        <v>1</v>
      </c>
      <c r="I161" s="100"/>
      <c r="J161" s="101" t="s">
        <v>13</v>
      </c>
      <c r="K161" s="102" t="s">
        <v>45</v>
      </c>
      <c r="L161" s="103" t="s">
        <v>107</v>
      </c>
      <c r="M161" s="103" t="s">
        <v>108</v>
      </c>
      <c r="N161" s="569" t="s">
        <v>15</v>
      </c>
      <c r="O161" s="570"/>
      <c r="P161" s="101" t="s">
        <v>0</v>
      </c>
      <c r="Q161" s="101" t="s">
        <v>1</v>
      </c>
      <c r="R161" s="100"/>
      <c r="S161" s="164"/>
      <c r="T161" s="100"/>
      <c r="U161" s="100"/>
      <c r="V161" s="100"/>
      <c r="W161" s="100"/>
      <c r="X161" s="100"/>
      <c r="Y161" s="100"/>
      <c r="Z161" s="100"/>
      <c r="AA161" s="124"/>
    </row>
    <row r="162" spans="1:27" ht="25.5" x14ac:dyDescent="0.25">
      <c r="A162" s="8" t="s">
        <v>75</v>
      </c>
      <c r="B162" s="91">
        <v>8</v>
      </c>
      <c r="C162" s="92">
        <v>1</v>
      </c>
      <c r="D162" s="92">
        <f>B162*C162</f>
        <v>8</v>
      </c>
      <c r="E162" s="39">
        <f>D162*$C$26/400</f>
        <v>2</v>
      </c>
      <c r="F162" s="14" t="s">
        <v>38</v>
      </c>
      <c r="G162" s="108"/>
      <c r="H162" s="108">
        <f>D162*G162/400</f>
        <v>0</v>
      </c>
      <c r="I162" s="100"/>
      <c r="J162" s="428" t="s">
        <v>214</v>
      </c>
      <c r="K162" s="91">
        <v>21</v>
      </c>
      <c r="L162" s="92">
        <v>1</v>
      </c>
      <c r="M162" s="92">
        <f>K162*L162</f>
        <v>21</v>
      </c>
      <c r="N162" s="39">
        <f>M162*$C$26/400</f>
        <v>5.25</v>
      </c>
      <c r="O162" s="14" t="s">
        <v>152</v>
      </c>
      <c r="P162" s="106"/>
      <c r="Q162" s="95">
        <f>M162*P162/400</f>
        <v>0</v>
      </c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spans="1:27" x14ac:dyDescent="0.25">
      <c r="A163" s="8" t="s">
        <v>26</v>
      </c>
      <c r="B163" s="91">
        <v>15</v>
      </c>
      <c r="C163" s="92">
        <v>1</v>
      </c>
      <c r="D163" s="92">
        <f>B163*C163</f>
        <v>15</v>
      </c>
      <c r="E163" s="39">
        <f>D163*$C$26/400</f>
        <v>3.75</v>
      </c>
      <c r="F163" s="14" t="s">
        <v>38</v>
      </c>
      <c r="G163" s="108"/>
      <c r="H163" s="108">
        <f t="shared" ref="H163" si="27">D163*G163/400</f>
        <v>0</v>
      </c>
      <c r="I163" s="165"/>
      <c r="J163" s="126"/>
      <c r="K163" s="118"/>
      <c r="L163" s="118"/>
      <c r="M163" s="118"/>
      <c r="N163" s="154"/>
      <c r="O163" s="118"/>
      <c r="P163" s="132"/>
      <c r="Q163" s="47">
        <f>SUM(Q162)</f>
        <v>0</v>
      </c>
      <c r="R163" s="165"/>
      <c r="S163" s="165"/>
      <c r="T163" s="165"/>
      <c r="U163" s="165"/>
      <c r="V163" s="165"/>
      <c r="W163" s="165"/>
      <c r="X163" s="165"/>
      <c r="Y163" s="165"/>
      <c r="Z163" s="165"/>
      <c r="AA163" s="116"/>
    </row>
    <row r="164" spans="1:27" x14ac:dyDescent="0.25">
      <c r="A164" s="8" t="s">
        <v>28</v>
      </c>
      <c r="B164" s="91">
        <v>5</v>
      </c>
      <c r="C164" s="92">
        <v>1</v>
      </c>
      <c r="D164" s="92">
        <f>B164*C164</f>
        <v>5</v>
      </c>
      <c r="E164" s="39">
        <f>D164*$C$26/1000</f>
        <v>0.5</v>
      </c>
      <c r="F164" s="14" t="s">
        <v>25</v>
      </c>
      <c r="G164" s="108"/>
      <c r="H164" s="108">
        <f>D164*G164/1000</f>
        <v>0</v>
      </c>
      <c r="I164" s="165"/>
      <c r="R164" s="165"/>
      <c r="S164" s="165"/>
    </row>
    <row r="165" spans="1:27" s="124" customFormat="1" x14ac:dyDescent="0.25">
      <c r="A165" s="85"/>
      <c r="B165" s="85"/>
      <c r="C165" s="85"/>
      <c r="D165" s="85"/>
      <c r="E165" s="85"/>
      <c r="F165" s="85"/>
      <c r="G165" s="85"/>
      <c r="H165" s="47">
        <f>SUM(H162:H164)</f>
        <v>0</v>
      </c>
      <c r="I165" s="85"/>
      <c r="R165" s="79"/>
      <c r="S165" s="79"/>
      <c r="T165" s="79"/>
      <c r="U165" s="79"/>
      <c r="V165" s="79"/>
      <c r="W165" s="79"/>
      <c r="X165" s="79"/>
      <c r="Y165" s="79"/>
      <c r="Z165" s="79"/>
      <c r="AA165" s="79"/>
    </row>
    <row r="166" spans="1:27" s="124" customFormat="1" ht="19.5" customHeight="1" x14ac:dyDescent="0.25">
      <c r="A166" s="38"/>
      <c r="B166" s="12"/>
      <c r="C166" s="12"/>
      <c r="D166" s="12"/>
      <c r="E166" s="12"/>
      <c r="F166" s="12"/>
      <c r="H166" s="158"/>
      <c r="I166" s="100"/>
      <c r="R166" s="79"/>
      <c r="S166" s="79"/>
      <c r="T166" s="79"/>
      <c r="U166" s="79"/>
      <c r="V166" s="79"/>
      <c r="W166" s="79"/>
      <c r="X166" s="79"/>
      <c r="Y166" s="79"/>
      <c r="Z166" s="79"/>
      <c r="AA166" s="100"/>
    </row>
    <row r="167" spans="1:27" x14ac:dyDescent="0.25">
      <c r="A167" s="577" t="s">
        <v>60</v>
      </c>
      <c r="B167" s="577"/>
      <c r="C167" s="577"/>
      <c r="D167" s="577"/>
      <c r="E167" s="577"/>
      <c r="F167" s="577"/>
      <c r="G167" s="577"/>
      <c r="H167" s="577"/>
      <c r="I167" s="577"/>
      <c r="J167" s="577"/>
      <c r="K167" s="577"/>
      <c r="L167" s="577"/>
      <c r="M167" s="577"/>
      <c r="N167" s="577"/>
      <c r="O167" s="577"/>
      <c r="P167" s="577"/>
      <c r="Q167" s="577"/>
      <c r="R167" s="577"/>
      <c r="S167" s="577"/>
      <c r="T167" s="577"/>
      <c r="U167" s="577"/>
      <c r="V167" s="577"/>
      <c r="W167" s="577"/>
      <c r="X167" s="577"/>
      <c r="Y167" s="577"/>
      <c r="Z167" s="577"/>
      <c r="AA167" s="577"/>
    </row>
    <row r="168" spans="1:27" s="124" customFormat="1" ht="15.75" thickBot="1" x14ac:dyDescent="0.3">
      <c r="I168" s="100"/>
      <c r="R168" s="100"/>
      <c r="S168" s="79"/>
      <c r="T168" s="79"/>
      <c r="U168" s="79"/>
      <c r="V168" s="79"/>
      <c r="AA168" s="79"/>
    </row>
    <row r="169" spans="1:27" ht="15.75" thickBot="1" x14ac:dyDescent="0.3">
      <c r="A169" s="566" t="s">
        <v>78</v>
      </c>
      <c r="B169" s="567"/>
      <c r="C169" s="567"/>
      <c r="D169" s="567"/>
      <c r="E169" s="567"/>
      <c r="F169" s="567"/>
      <c r="G169" s="567"/>
      <c r="H169" s="568"/>
      <c r="I169" s="12"/>
      <c r="J169" s="566" t="s">
        <v>102</v>
      </c>
      <c r="K169" s="567"/>
      <c r="L169" s="567"/>
      <c r="M169" s="567"/>
      <c r="N169" s="567"/>
      <c r="O169" s="567"/>
      <c r="P169" s="567"/>
      <c r="Q169" s="568"/>
      <c r="R169" s="100"/>
      <c r="T169" s="100"/>
      <c r="U169" s="100"/>
      <c r="V169" s="100"/>
      <c r="W169" s="100"/>
      <c r="X169" s="100"/>
      <c r="Y169" s="100"/>
      <c r="Z169" s="100"/>
      <c r="AA169" s="124"/>
    </row>
    <row r="170" spans="1:27" ht="25.5" x14ac:dyDescent="0.25">
      <c r="A170" s="101" t="s">
        <v>13</v>
      </c>
      <c r="B170" s="102" t="s">
        <v>45</v>
      </c>
      <c r="C170" s="102" t="s">
        <v>107</v>
      </c>
      <c r="D170" s="102" t="s">
        <v>108</v>
      </c>
      <c r="E170" s="578" t="s">
        <v>15</v>
      </c>
      <c r="F170" s="578"/>
      <c r="G170" s="101" t="s">
        <v>0</v>
      </c>
      <c r="H170" s="101" t="s">
        <v>1</v>
      </c>
      <c r="I170" s="12"/>
      <c r="J170" s="101" t="s">
        <v>13</v>
      </c>
      <c r="K170" s="102" t="s">
        <v>45</v>
      </c>
      <c r="L170" s="102" t="s">
        <v>107</v>
      </c>
      <c r="M170" s="102" t="s">
        <v>108</v>
      </c>
      <c r="N170" s="579" t="s">
        <v>15</v>
      </c>
      <c r="O170" s="580"/>
      <c r="P170" s="101" t="s">
        <v>0</v>
      </c>
      <c r="Q170" s="101" t="s">
        <v>1</v>
      </c>
      <c r="R170" s="100"/>
      <c r="S170" s="100"/>
      <c r="T170" s="100"/>
      <c r="U170" s="100"/>
      <c r="V170" s="100"/>
      <c r="W170" s="100"/>
      <c r="X170" s="100"/>
      <c r="Y170" s="100"/>
      <c r="Z170" s="100"/>
    </row>
    <row r="171" spans="1:27" x14ac:dyDescent="0.25">
      <c r="A171" s="104" t="s">
        <v>50</v>
      </c>
      <c r="B171" s="96">
        <v>15</v>
      </c>
      <c r="C171" s="113">
        <v>1</v>
      </c>
      <c r="D171" s="113">
        <f>B171*C171</f>
        <v>15</v>
      </c>
      <c r="E171" s="39">
        <f t="shared" ref="E171:E178" si="28">D171*$C$26/1000</f>
        <v>1.5</v>
      </c>
      <c r="F171" s="91" t="s">
        <v>25</v>
      </c>
      <c r="G171" s="166"/>
      <c r="H171" s="17">
        <f>D171*G171/1000</f>
        <v>0</v>
      </c>
      <c r="I171" s="12"/>
      <c r="J171" s="90" t="s">
        <v>64</v>
      </c>
      <c r="K171" s="91">
        <v>10</v>
      </c>
      <c r="L171" s="92">
        <v>1</v>
      </c>
      <c r="M171" s="92">
        <f>K171*L171</f>
        <v>10</v>
      </c>
      <c r="N171" s="39">
        <f>M171*$C$26/1000</f>
        <v>1</v>
      </c>
      <c r="O171" s="14" t="s">
        <v>25</v>
      </c>
      <c r="P171" s="138"/>
      <c r="Q171" s="138">
        <f>M171*P171/1000</f>
        <v>0</v>
      </c>
      <c r="R171" s="124"/>
      <c r="S171" s="100"/>
      <c r="T171" s="152"/>
      <c r="U171" s="152"/>
      <c r="V171" s="152"/>
      <c r="W171" s="167"/>
      <c r="X171" s="115"/>
      <c r="Y171" s="168"/>
      <c r="Z171" s="168"/>
    </row>
    <row r="172" spans="1:27" x14ac:dyDescent="0.25">
      <c r="A172" s="104" t="s">
        <v>116</v>
      </c>
      <c r="B172" s="96">
        <v>25</v>
      </c>
      <c r="C172" s="113">
        <v>1.21</v>
      </c>
      <c r="D172" s="105">
        <f t="shared" ref="D172:D179" si="29">B172*C172</f>
        <v>30.25</v>
      </c>
      <c r="E172" s="39">
        <f t="shared" si="28"/>
        <v>3.0249999999999999</v>
      </c>
      <c r="F172" s="91" t="s">
        <v>25</v>
      </c>
      <c r="G172" s="166"/>
      <c r="H172" s="17">
        <f t="shared" ref="H172:H178" si="30">D172*G172/1000</f>
        <v>0</v>
      </c>
      <c r="I172" s="165"/>
      <c r="J172" s="90" t="s">
        <v>54</v>
      </c>
      <c r="K172" s="91">
        <v>4</v>
      </c>
      <c r="L172" s="92">
        <v>1</v>
      </c>
      <c r="M172" s="92">
        <f t="shared" ref="M172:M175" si="31">K172*L172</f>
        <v>4</v>
      </c>
      <c r="N172" s="39">
        <f>M172*$C$26/500</f>
        <v>0.8</v>
      </c>
      <c r="O172" s="14" t="s">
        <v>56</v>
      </c>
      <c r="P172" s="138"/>
      <c r="Q172" s="138">
        <f>M172*P172/500</f>
        <v>0</v>
      </c>
      <c r="S172" s="156"/>
      <c r="T172" s="152"/>
      <c r="U172" s="152"/>
      <c r="V172" s="152"/>
      <c r="W172" s="115"/>
      <c r="X172" s="115"/>
      <c r="Y172" s="123"/>
      <c r="Z172" s="54"/>
    </row>
    <row r="173" spans="1:27" x14ac:dyDescent="0.25">
      <c r="A173" s="104" t="s">
        <v>74</v>
      </c>
      <c r="B173" s="96">
        <v>2</v>
      </c>
      <c r="C173" s="113">
        <v>1.48</v>
      </c>
      <c r="D173" s="105">
        <f t="shared" si="29"/>
        <v>2.96</v>
      </c>
      <c r="E173" s="39">
        <f t="shared" si="28"/>
        <v>0.29599999999999999</v>
      </c>
      <c r="F173" s="91" t="s">
        <v>16</v>
      </c>
      <c r="G173" s="166"/>
      <c r="H173" s="17">
        <f t="shared" si="30"/>
        <v>0</v>
      </c>
      <c r="J173" s="90" t="s">
        <v>2</v>
      </c>
      <c r="K173" s="441">
        <v>4</v>
      </c>
      <c r="L173" s="92">
        <v>1.08</v>
      </c>
      <c r="M173" s="92">
        <f t="shared" si="31"/>
        <v>4.32</v>
      </c>
      <c r="N173" s="39">
        <f>M173*$C$26/1000</f>
        <v>0.432</v>
      </c>
      <c r="O173" s="14" t="s">
        <v>25</v>
      </c>
      <c r="P173" s="138"/>
      <c r="Q173" s="138">
        <f t="shared" ref="Q173:Q175" si="32">M173*P173/1000</f>
        <v>0</v>
      </c>
      <c r="S173" s="156"/>
    </row>
    <row r="174" spans="1:27" x14ac:dyDescent="0.25">
      <c r="A174" s="104" t="s">
        <v>51</v>
      </c>
      <c r="B174" s="442">
        <v>16</v>
      </c>
      <c r="C174" s="113">
        <v>1.35</v>
      </c>
      <c r="D174" s="105">
        <f t="shared" si="29"/>
        <v>21.6</v>
      </c>
      <c r="E174" s="39">
        <f t="shared" si="28"/>
        <v>2.16</v>
      </c>
      <c r="F174" s="91" t="s">
        <v>25</v>
      </c>
      <c r="G174" s="166"/>
      <c r="H174" s="17">
        <f t="shared" si="30"/>
        <v>0</v>
      </c>
      <c r="J174" s="90" t="s">
        <v>5</v>
      </c>
      <c r="K174" s="91">
        <v>0.5</v>
      </c>
      <c r="L174" s="92">
        <v>1</v>
      </c>
      <c r="M174" s="92">
        <f t="shared" si="31"/>
        <v>0.5</v>
      </c>
      <c r="N174" s="39">
        <f>M174*$C$26/1000</f>
        <v>0.05</v>
      </c>
      <c r="O174" s="14" t="s">
        <v>25</v>
      </c>
      <c r="P174" s="138"/>
      <c r="Q174" s="138">
        <f t="shared" si="32"/>
        <v>0</v>
      </c>
    </row>
    <row r="175" spans="1:27" ht="18.75" customHeight="1" x14ac:dyDescent="0.25">
      <c r="A175" s="104" t="s">
        <v>53</v>
      </c>
      <c r="B175" s="442">
        <v>0.5</v>
      </c>
      <c r="C175" s="92">
        <v>1.18</v>
      </c>
      <c r="D175" s="112">
        <f t="shared" si="29"/>
        <v>0.59</v>
      </c>
      <c r="E175" s="39">
        <f t="shared" si="28"/>
        <v>5.8999999999999997E-2</v>
      </c>
      <c r="F175" s="91" t="s">
        <v>25</v>
      </c>
      <c r="G175" s="166"/>
      <c r="H175" s="17">
        <f t="shared" si="30"/>
        <v>0</v>
      </c>
      <c r="J175" s="8" t="s">
        <v>7</v>
      </c>
      <c r="K175" s="91">
        <v>5</v>
      </c>
      <c r="L175" s="92">
        <v>1.18</v>
      </c>
      <c r="M175" s="92">
        <f t="shared" si="31"/>
        <v>5.8999999999999995</v>
      </c>
      <c r="N175" s="39">
        <f>M175*$C$26/1000</f>
        <v>0.59</v>
      </c>
      <c r="O175" s="57" t="s">
        <v>16</v>
      </c>
      <c r="P175" s="108"/>
      <c r="Q175" s="138">
        <f t="shared" si="32"/>
        <v>0</v>
      </c>
    </row>
    <row r="176" spans="1:27" x14ac:dyDescent="0.25">
      <c r="A176" s="104" t="s">
        <v>2</v>
      </c>
      <c r="B176" s="442">
        <v>4</v>
      </c>
      <c r="C176" s="113">
        <v>1.08</v>
      </c>
      <c r="D176" s="112">
        <f t="shared" si="29"/>
        <v>4.32</v>
      </c>
      <c r="E176" s="39">
        <f t="shared" si="28"/>
        <v>0.432</v>
      </c>
      <c r="F176" s="91" t="s">
        <v>25</v>
      </c>
      <c r="G176" s="166"/>
      <c r="H176" s="17">
        <f t="shared" si="30"/>
        <v>0</v>
      </c>
      <c r="Q176" s="47">
        <f>SUM(Q171:Q175)</f>
        <v>0</v>
      </c>
    </row>
    <row r="177" spans="1:27" ht="15.75" thickBot="1" x14ac:dyDescent="0.3">
      <c r="A177" s="104" t="s">
        <v>10</v>
      </c>
      <c r="B177" s="450">
        <v>8</v>
      </c>
      <c r="C177" s="113">
        <v>1.18</v>
      </c>
      <c r="D177" s="112">
        <f t="shared" si="29"/>
        <v>9.44</v>
      </c>
      <c r="E177" s="39">
        <f t="shared" si="28"/>
        <v>0.94399999999999995</v>
      </c>
      <c r="F177" s="14" t="s">
        <v>25</v>
      </c>
      <c r="G177" s="166"/>
      <c r="H177" s="17">
        <f t="shared" si="30"/>
        <v>0</v>
      </c>
    </row>
    <row r="178" spans="1:27" ht="15.75" thickBot="1" x14ac:dyDescent="0.3">
      <c r="A178" s="104" t="s">
        <v>5</v>
      </c>
      <c r="B178" s="96">
        <v>0.5</v>
      </c>
      <c r="C178" s="113">
        <v>1</v>
      </c>
      <c r="D178" s="112">
        <f t="shared" si="29"/>
        <v>0.5</v>
      </c>
      <c r="E178" s="39">
        <f t="shared" si="28"/>
        <v>0.05</v>
      </c>
      <c r="F178" s="91" t="s">
        <v>25</v>
      </c>
      <c r="G178" s="166"/>
      <c r="H178" s="17">
        <f t="shared" si="30"/>
        <v>0</v>
      </c>
      <c r="J178" s="566" t="s">
        <v>61</v>
      </c>
      <c r="K178" s="567"/>
      <c r="L178" s="567"/>
      <c r="M178" s="567"/>
      <c r="N178" s="567"/>
      <c r="O178" s="567"/>
      <c r="P178" s="567"/>
      <c r="Q178" s="568"/>
    </row>
    <row r="179" spans="1:27" ht="25.5" x14ac:dyDescent="0.25">
      <c r="A179" s="104" t="s">
        <v>12</v>
      </c>
      <c r="B179" s="96">
        <v>0.4</v>
      </c>
      <c r="C179" s="113">
        <v>1.35</v>
      </c>
      <c r="D179" s="112">
        <f t="shared" si="29"/>
        <v>0.54</v>
      </c>
      <c r="E179" s="39">
        <f>D179*$C$26/30</f>
        <v>1.8</v>
      </c>
      <c r="F179" s="91" t="s">
        <v>109</v>
      </c>
      <c r="G179" s="166"/>
      <c r="H179" s="17">
        <f>D179*G179/30</f>
        <v>0</v>
      </c>
      <c r="J179" s="101" t="s">
        <v>13</v>
      </c>
      <c r="K179" s="102" t="s">
        <v>45</v>
      </c>
      <c r="L179" s="102" t="s">
        <v>107</v>
      </c>
      <c r="M179" s="102" t="s">
        <v>108</v>
      </c>
      <c r="N179" s="579" t="s">
        <v>15</v>
      </c>
      <c r="O179" s="580"/>
      <c r="P179" s="101" t="s">
        <v>0</v>
      </c>
      <c r="Q179" s="101" t="s">
        <v>1</v>
      </c>
    </row>
    <row r="180" spans="1:27" ht="18.75" customHeight="1" x14ac:dyDescent="0.25">
      <c r="A180" s="120"/>
      <c r="B180" s="99"/>
      <c r="C180" s="99"/>
      <c r="D180" s="99"/>
      <c r="E180" s="118"/>
      <c r="F180" s="12"/>
      <c r="G180" s="169"/>
      <c r="H180" s="18">
        <f>SUM(H171:H179)</f>
        <v>0</v>
      </c>
      <c r="J180" s="90" t="s">
        <v>49</v>
      </c>
      <c r="K180" s="91">
        <v>20</v>
      </c>
      <c r="L180" s="92">
        <v>1</v>
      </c>
      <c r="M180" s="92">
        <f>K180*L180</f>
        <v>20</v>
      </c>
      <c r="N180" s="39">
        <f>M180*$C$26/1000</f>
        <v>2</v>
      </c>
      <c r="O180" s="14" t="s">
        <v>25</v>
      </c>
      <c r="P180" s="106"/>
      <c r="Q180" s="170">
        <f>M180*P180/1000</f>
        <v>0</v>
      </c>
    </row>
    <row r="181" spans="1:27" ht="15.75" thickBot="1" x14ac:dyDescent="0.3">
      <c r="J181" s="90" t="s">
        <v>5</v>
      </c>
      <c r="K181" s="96">
        <v>0.5</v>
      </c>
      <c r="L181" s="92">
        <v>1</v>
      </c>
      <c r="M181" s="92">
        <f>K181*L181</f>
        <v>0.5</v>
      </c>
      <c r="N181" s="39">
        <f>M181*$C$26/1000</f>
        <v>0.05</v>
      </c>
      <c r="O181" s="14" t="s">
        <v>25</v>
      </c>
      <c r="P181" s="106"/>
      <c r="Q181" s="170">
        <f t="shared" ref="Q181:Q183" si="33">M181*P181/1000</f>
        <v>0</v>
      </c>
    </row>
    <row r="182" spans="1:27" ht="15.75" thickBot="1" x14ac:dyDescent="0.3">
      <c r="A182" s="566" t="s">
        <v>69</v>
      </c>
      <c r="B182" s="567"/>
      <c r="C182" s="567"/>
      <c r="D182" s="567"/>
      <c r="E182" s="567"/>
      <c r="F182" s="567"/>
      <c r="G182" s="567"/>
      <c r="H182" s="568"/>
      <c r="J182" s="90" t="s">
        <v>3</v>
      </c>
      <c r="K182" s="91">
        <v>0.5</v>
      </c>
      <c r="L182" s="92">
        <v>1.18</v>
      </c>
      <c r="M182" s="111">
        <f>K182*L182</f>
        <v>0.59</v>
      </c>
      <c r="N182" s="39">
        <f>M182*$C$26/1000</f>
        <v>5.8999999999999997E-2</v>
      </c>
      <c r="O182" s="14" t="s">
        <v>25</v>
      </c>
      <c r="P182" s="106"/>
      <c r="Q182" s="170">
        <f t="shared" si="33"/>
        <v>0</v>
      </c>
    </row>
    <row r="183" spans="1:27" ht="25.5" x14ac:dyDescent="0.25">
      <c r="A183" s="101" t="s">
        <v>13</v>
      </c>
      <c r="B183" s="102" t="s">
        <v>45</v>
      </c>
      <c r="C183" s="102" t="s">
        <v>107</v>
      </c>
      <c r="D183" s="102" t="s">
        <v>108</v>
      </c>
      <c r="E183" s="569" t="s">
        <v>15</v>
      </c>
      <c r="F183" s="570"/>
      <c r="G183" s="101" t="s">
        <v>0</v>
      </c>
      <c r="H183" s="101" t="s">
        <v>1</v>
      </c>
      <c r="J183" s="90" t="s">
        <v>2</v>
      </c>
      <c r="K183" s="446">
        <v>4</v>
      </c>
      <c r="L183" s="92">
        <v>1.08</v>
      </c>
      <c r="M183" s="111">
        <f>K183*L183</f>
        <v>4.32</v>
      </c>
      <c r="N183" s="39">
        <f>M183*$C$26/1000</f>
        <v>0.432</v>
      </c>
      <c r="O183" s="14" t="s">
        <v>25</v>
      </c>
      <c r="P183" s="106"/>
      <c r="Q183" s="170">
        <f t="shared" si="33"/>
        <v>0</v>
      </c>
    </row>
    <row r="184" spans="1:27" x14ac:dyDescent="0.25">
      <c r="A184" s="104" t="s">
        <v>69</v>
      </c>
      <c r="B184" s="96">
        <v>60</v>
      </c>
      <c r="C184" s="113">
        <v>1.56</v>
      </c>
      <c r="D184" s="113">
        <f>B184*C184</f>
        <v>93.600000000000009</v>
      </c>
      <c r="E184" s="39">
        <f>D184*$C$26/1000</f>
        <v>9.36</v>
      </c>
      <c r="F184" s="91" t="s">
        <v>25</v>
      </c>
      <c r="G184" s="171"/>
      <c r="H184" s="171">
        <f>D184*G184/1000</f>
        <v>0</v>
      </c>
      <c r="J184" s="90" t="s">
        <v>127</v>
      </c>
      <c r="K184" s="96">
        <v>2</v>
      </c>
      <c r="L184" s="92">
        <v>1</v>
      </c>
      <c r="M184" s="92">
        <f>K184*L184</f>
        <v>2</v>
      </c>
      <c r="N184" s="39">
        <f>M184*$C$26/900</f>
        <v>0.22222222222222221</v>
      </c>
      <c r="O184" s="14" t="s">
        <v>40</v>
      </c>
      <c r="P184" s="106"/>
      <c r="Q184" s="170">
        <f>M184*P184/900</f>
        <v>0</v>
      </c>
    </row>
    <row r="185" spans="1:27" ht="15" customHeight="1" x14ac:dyDescent="0.25">
      <c r="A185" s="120"/>
      <c r="B185" s="121"/>
      <c r="C185" s="121"/>
      <c r="D185" s="121"/>
      <c r="E185" s="118"/>
      <c r="F185" s="12"/>
      <c r="H185" s="172">
        <f>SUM(H184)</f>
        <v>0</v>
      </c>
      <c r="I185" s="100"/>
      <c r="J185" s="126"/>
      <c r="K185" s="152"/>
      <c r="L185" s="115"/>
      <c r="M185" s="115"/>
      <c r="N185" s="173"/>
      <c r="O185" s="118"/>
      <c r="P185" s="122"/>
      <c r="Q185" s="47">
        <f>SUM(Q180:Q184)</f>
        <v>0</v>
      </c>
    </row>
    <row r="186" spans="1:27" ht="15" customHeight="1" x14ac:dyDescent="0.25">
      <c r="Z186" s="453"/>
    </row>
    <row r="187" spans="1:27" ht="15.75" thickBot="1" x14ac:dyDescent="0.3">
      <c r="I187" s="452"/>
      <c r="J187" s="123"/>
      <c r="K187" s="123"/>
      <c r="L187" s="123"/>
      <c r="M187" s="123"/>
      <c r="N187" s="123"/>
      <c r="O187" s="123"/>
    </row>
    <row r="188" spans="1:27" ht="19.5" thickBot="1" x14ac:dyDescent="0.3">
      <c r="J188" s="123"/>
      <c r="K188" s="123"/>
      <c r="L188" s="123"/>
      <c r="M188" s="123"/>
      <c r="N188" s="123"/>
      <c r="O188" s="572" t="s">
        <v>103</v>
      </c>
      <c r="P188" s="573"/>
      <c r="Q188" s="174">
        <f>SUM(H165,Q163,H180,Q176,H185,Q185)</f>
        <v>0</v>
      </c>
    </row>
    <row r="189" spans="1:27" ht="18.75" thickBot="1" x14ac:dyDescent="0.3">
      <c r="J189" s="454"/>
      <c r="K189" s="454"/>
      <c r="L189" s="454"/>
      <c r="M189" s="123"/>
      <c r="N189" s="454"/>
      <c r="O189" s="175"/>
    </row>
    <row r="190" spans="1:27" ht="21" thickBot="1" x14ac:dyDescent="0.3">
      <c r="J190" s="123"/>
      <c r="K190" s="123"/>
      <c r="L190" s="123"/>
      <c r="M190" s="454"/>
      <c r="N190" s="177"/>
      <c r="O190" s="572" t="s">
        <v>97</v>
      </c>
      <c r="P190" s="573"/>
      <c r="Q190" s="174">
        <f xml:space="preserve"> SUM(R58,R89,R119,R152,Q188)/5</f>
        <v>0</v>
      </c>
    </row>
    <row r="191" spans="1:27" s="85" customFormat="1" x14ac:dyDescent="0.25">
      <c r="I191" s="79"/>
      <c r="J191" s="178"/>
      <c r="K191" s="178"/>
      <c r="L191" s="178"/>
      <c r="M191" s="123"/>
      <c r="N191" s="123"/>
      <c r="O191" s="123"/>
      <c r="R191" s="79"/>
      <c r="S191" s="79"/>
      <c r="T191" s="79"/>
      <c r="U191" s="79"/>
      <c r="V191" s="79"/>
      <c r="W191" s="79"/>
      <c r="X191" s="79"/>
      <c r="Y191" s="79"/>
      <c r="Z191" s="79"/>
      <c r="AA191" s="79"/>
    </row>
    <row r="192" spans="1:27" s="85" customFormat="1" x14ac:dyDescent="0.25"/>
    <row r="193" spans="10:19" s="85" customFormat="1" x14ac:dyDescent="0.25"/>
    <row r="194" spans="10:19" s="85" customFormat="1" x14ac:dyDescent="0.25"/>
    <row r="195" spans="10:19" s="85" customFormat="1" x14ac:dyDescent="0.25"/>
    <row r="196" spans="10:19" s="85" customFormat="1" x14ac:dyDescent="0.25"/>
    <row r="197" spans="10:19" s="85" customFormat="1" x14ac:dyDescent="0.25"/>
    <row r="198" spans="10:19" s="85" customFormat="1" x14ac:dyDescent="0.25"/>
    <row r="199" spans="10:19" s="85" customFormat="1" x14ac:dyDescent="0.25"/>
    <row r="200" spans="10:19" s="85" customFormat="1" x14ac:dyDescent="0.25"/>
    <row r="201" spans="10:19" s="85" customFormat="1" x14ac:dyDescent="0.25"/>
    <row r="202" spans="10:19" s="85" customFormat="1" x14ac:dyDescent="0.25"/>
    <row r="207" spans="10:19" x14ac:dyDescent="0.25">
      <c r="J207" s="156"/>
      <c r="K207" s="156"/>
      <c r="L207" s="156"/>
      <c r="M207" s="156"/>
      <c r="N207" s="179"/>
      <c r="S207" s="85"/>
    </row>
  </sheetData>
  <mergeCells count="83">
    <mergeCell ref="A41:AA41"/>
    <mergeCell ref="P17:R17"/>
    <mergeCell ref="A29:AA29"/>
    <mergeCell ref="A31:AA31"/>
    <mergeCell ref="A33:H33"/>
    <mergeCell ref="E34:F34"/>
    <mergeCell ref="J52:Q52"/>
    <mergeCell ref="N53:O53"/>
    <mergeCell ref="A43:H43"/>
    <mergeCell ref="J43:Q43"/>
    <mergeCell ref="S43:Z43"/>
    <mergeCell ref="E44:F44"/>
    <mergeCell ref="N44:O44"/>
    <mergeCell ref="W44:X44"/>
    <mergeCell ref="X73:Y73"/>
    <mergeCell ref="A60:AA60"/>
    <mergeCell ref="A62:AA62"/>
    <mergeCell ref="A63:H63"/>
    <mergeCell ref="A64:H64"/>
    <mergeCell ref="E65:F65"/>
    <mergeCell ref="A71:AA71"/>
    <mergeCell ref="T72:AA72"/>
    <mergeCell ref="E74:F74"/>
    <mergeCell ref="N74:O74"/>
    <mergeCell ref="A83:H83"/>
    <mergeCell ref="E84:F84"/>
    <mergeCell ref="A73:H73"/>
    <mergeCell ref="J73:Q73"/>
    <mergeCell ref="J83:Q83"/>
    <mergeCell ref="N84:O84"/>
    <mergeCell ref="A105:H105"/>
    <mergeCell ref="J105:Q105"/>
    <mergeCell ref="T105:AA105"/>
    <mergeCell ref="A91:AA91"/>
    <mergeCell ref="A93:AA93"/>
    <mergeCell ref="A95:H95"/>
    <mergeCell ref="E96:F96"/>
    <mergeCell ref="J97:L97"/>
    <mergeCell ref="A103:AA103"/>
    <mergeCell ref="A122:AA122"/>
    <mergeCell ref="A124:AA124"/>
    <mergeCell ref="A126:H126"/>
    <mergeCell ref="J126:Q126"/>
    <mergeCell ref="E106:F106"/>
    <mergeCell ref="N106:O106"/>
    <mergeCell ref="X106:Y106"/>
    <mergeCell ref="E151:F151"/>
    <mergeCell ref="E127:F127"/>
    <mergeCell ref="N127:O127"/>
    <mergeCell ref="A132:AA132"/>
    <mergeCell ref="A134:H134"/>
    <mergeCell ref="J134:Q134"/>
    <mergeCell ref="E135:F135"/>
    <mergeCell ref="N135:O135"/>
    <mergeCell ref="J159:L159"/>
    <mergeCell ref="A160:H160"/>
    <mergeCell ref="J160:Q160"/>
    <mergeCell ref="E161:F161"/>
    <mergeCell ref="N161:O161"/>
    <mergeCell ref="A182:H182"/>
    <mergeCell ref="E183:F183"/>
    <mergeCell ref="A169:H169"/>
    <mergeCell ref="J169:Q169"/>
    <mergeCell ref="E170:F170"/>
    <mergeCell ref="N170:O170"/>
    <mergeCell ref="J178:Q178"/>
    <mergeCell ref="N179:O179"/>
    <mergeCell ref="O188:P188"/>
    <mergeCell ref="O190:P190"/>
    <mergeCell ref="P58:Q58"/>
    <mergeCell ref="R58:S58"/>
    <mergeCell ref="P89:Q89"/>
    <mergeCell ref="R89:S89"/>
    <mergeCell ref="P119:Q119"/>
    <mergeCell ref="R119:S119"/>
    <mergeCell ref="P152:Q152"/>
    <mergeCell ref="R152:S152"/>
    <mergeCell ref="A167:AA167"/>
    <mergeCell ref="A156:AA156"/>
    <mergeCell ref="A158:AA158"/>
    <mergeCell ref="J143:Q143"/>
    <mergeCell ref="N144:O144"/>
    <mergeCell ref="A150:H150"/>
  </mergeCells>
  <pageMargins left="0.25" right="0.25" top="0.75" bottom="0.75" header="0.3" footer="0.3"/>
  <pageSetup paperSize="9" scale="54" orientation="landscape" r:id="rId1"/>
  <rowBreaks count="2" manualBreakCount="2">
    <brk id="79" max="16383" man="1"/>
    <brk id="17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Z206"/>
  <sheetViews>
    <sheetView topLeftCell="A150" zoomScale="80" zoomScaleNormal="80" workbookViewId="0">
      <selection activeCell="G175" sqref="G175:G178"/>
    </sheetView>
  </sheetViews>
  <sheetFormatPr defaultRowHeight="12.75" x14ac:dyDescent="0.2"/>
  <cols>
    <col min="1" max="1" width="21.85546875" style="189" customWidth="1"/>
    <col min="2" max="2" width="10.85546875" style="189" customWidth="1"/>
    <col min="3" max="4" width="9.140625" style="189"/>
    <col min="5" max="5" width="7.85546875" style="189" customWidth="1"/>
    <col min="6" max="6" width="13.140625" style="189" bestFit="1" customWidth="1"/>
    <col min="7" max="7" width="12.140625" style="189" customWidth="1"/>
    <col min="8" max="8" width="11.7109375" style="189" customWidth="1"/>
    <col min="9" max="9" width="4.42578125" style="189" customWidth="1"/>
    <col min="10" max="10" width="15.42578125" style="189" bestFit="1" customWidth="1"/>
    <col min="11" max="11" width="17.5703125" style="189" customWidth="1"/>
    <col min="12" max="12" width="9.7109375" style="189" customWidth="1"/>
    <col min="13" max="13" width="9.28515625" style="189" customWidth="1"/>
    <col min="14" max="14" width="11.5703125" style="189" customWidth="1"/>
    <col min="15" max="15" width="10.85546875" style="189" customWidth="1"/>
    <col min="16" max="16" width="12.5703125" style="189" customWidth="1"/>
    <col min="17" max="17" width="13.42578125" style="189" customWidth="1"/>
    <col min="18" max="18" width="9.42578125" style="189" bestFit="1" customWidth="1"/>
    <col min="19" max="19" width="11" style="189" customWidth="1"/>
    <col min="20" max="20" width="11.28515625" style="189" customWidth="1"/>
    <col min="21" max="21" width="9.140625" style="189"/>
    <col min="22" max="22" width="7.7109375" style="189" customWidth="1"/>
    <col min="23" max="23" width="10" style="189" customWidth="1"/>
    <col min="24" max="16384" width="9.140625" style="189"/>
  </cols>
  <sheetData>
    <row r="21" spans="1:18" x14ac:dyDescent="0.2">
      <c r="A21" s="599"/>
      <c r="B21" s="599"/>
      <c r="C21" s="599"/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</row>
    <row r="25" spans="1:18" x14ac:dyDescent="0.2">
      <c r="P25" s="610"/>
      <c r="Q25" s="610"/>
      <c r="R25" s="610"/>
    </row>
    <row r="32" spans="1:18" ht="18" x14ac:dyDescent="0.25">
      <c r="B32" s="190" t="s">
        <v>79</v>
      </c>
      <c r="C32" s="514">
        <v>100</v>
      </c>
    </row>
    <row r="36" spans="1:25" x14ac:dyDescent="0.2">
      <c r="A36" s="69" t="s">
        <v>123</v>
      </c>
    </row>
    <row r="37" spans="1:25" x14ac:dyDescent="0.2">
      <c r="A37" s="69" t="s">
        <v>124</v>
      </c>
    </row>
    <row r="38" spans="1:25" ht="25.5" x14ac:dyDescent="0.35">
      <c r="A38" s="611" t="s">
        <v>23</v>
      </c>
      <c r="B38" s="611"/>
      <c r="C38" s="611"/>
      <c r="D38" s="611"/>
      <c r="E38" s="611"/>
      <c r="F38" s="611"/>
      <c r="G38" s="611"/>
      <c r="H38" s="611"/>
      <c r="I38" s="611"/>
      <c r="J38" s="611"/>
      <c r="K38" s="611"/>
      <c r="L38" s="611"/>
      <c r="M38" s="611"/>
      <c r="N38" s="611"/>
      <c r="O38" s="611"/>
      <c r="P38" s="611"/>
      <c r="Q38" s="611"/>
      <c r="R38" s="611"/>
      <c r="S38" s="611"/>
      <c r="T38" s="611"/>
      <c r="U38" s="611"/>
      <c r="V38" s="611"/>
      <c r="W38" s="611"/>
      <c r="X38" s="611"/>
      <c r="Y38" s="76"/>
    </row>
    <row r="39" spans="1:25" x14ac:dyDescent="0.2">
      <c r="A39" s="191"/>
      <c r="B39" s="191"/>
      <c r="C39" s="191"/>
      <c r="D39" s="191"/>
      <c r="E39" s="191"/>
      <c r="F39" s="191"/>
      <c r="G39" s="191"/>
      <c r="H39" s="191"/>
      <c r="I39" s="192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1:25" ht="13.5" thickBot="1" x14ac:dyDescent="0.25">
      <c r="A40" s="603" t="s">
        <v>145</v>
      </c>
      <c r="B40" s="603"/>
      <c r="C40" s="603"/>
      <c r="D40" s="603"/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603"/>
      <c r="T40" s="603"/>
      <c r="U40" s="603"/>
      <c r="V40" s="603"/>
      <c r="W40" s="603"/>
      <c r="X40" s="603"/>
    </row>
    <row r="41" spans="1:25" s="191" customFormat="1" ht="13.5" thickBot="1" x14ac:dyDescent="0.25">
      <c r="A41" s="604" t="s">
        <v>114</v>
      </c>
      <c r="B41" s="605"/>
      <c r="C41" s="605"/>
      <c r="D41" s="605"/>
      <c r="E41" s="605"/>
      <c r="F41" s="605"/>
      <c r="G41" s="605"/>
      <c r="H41" s="606"/>
      <c r="I41" s="189"/>
      <c r="J41" s="189"/>
      <c r="K41" s="571"/>
      <c r="L41" s="571"/>
      <c r="M41" s="571"/>
      <c r="N41" s="571"/>
      <c r="O41" s="571"/>
      <c r="P41" s="571"/>
      <c r="Q41" s="571"/>
      <c r="R41" s="571"/>
      <c r="S41" s="189"/>
      <c r="T41" s="189"/>
      <c r="U41" s="189"/>
      <c r="V41" s="189"/>
      <c r="W41" s="189"/>
      <c r="X41" s="189"/>
      <c r="Y41" s="189"/>
    </row>
    <row r="42" spans="1:25" ht="27" customHeight="1" x14ac:dyDescent="0.2">
      <c r="A42" s="193" t="s">
        <v>13</v>
      </c>
      <c r="B42" s="193" t="s">
        <v>17</v>
      </c>
      <c r="C42" s="194" t="s">
        <v>107</v>
      </c>
      <c r="D42" s="194" t="s">
        <v>108</v>
      </c>
      <c r="E42" s="597" t="s">
        <v>15</v>
      </c>
      <c r="F42" s="598"/>
      <c r="G42" s="193" t="s">
        <v>42</v>
      </c>
      <c r="H42" s="193" t="s">
        <v>43</v>
      </c>
      <c r="I42" s="195"/>
      <c r="K42" s="129"/>
      <c r="L42" s="130"/>
      <c r="M42" s="130"/>
      <c r="N42" s="130"/>
      <c r="O42" s="571"/>
      <c r="P42" s="571"/>
      <c r="Q42" s="129"/>
      <c r="R42" s="129"/>
    </row>
    <row r="43" spans="1:25" ht="16.5" customHeight="1" x14ac:dyDescent="0.2">
      <c r="A43" s="196" t="s">
        <v>27</v>
      </c>
      <c r="B43" s="197">
        <v>20</v>
      </c>
      <c r="C43" s="198">
        <v>1.55</v>
      </c>
      <c r="D43" s="198">
        <f>B43*C43</f>
        <v>31</v>
      </c>
      <c r="E43" s="199">
        <f>D43*$C$32/1000</f>
        <v>3.1</v>
      </c>
      <c r="F43" s="67" t="s">
        <v>25</v>
      </c>
      <c r="G43" s="200"/>
      <c r="H43" s="201">
        <f>D43*G43/1000</f>
        <v>0</v>
      </c>
      <c r="I43" s="66"/>
      <c r="K43" s="547"/>
      <c r="L43" s="12"/>
      <c r="M43" s="12"/>
      <c r="N43" s="12"/>
      <c r="O43" s="36"/>
      <c r="P43" s="12"/>
      <c r="Q43" s="132"/>
      <c r="R43" s="336"/>
    </row>
    <row r="44" spans="1:25" ht="15" x14ac:dyDescent="0.2">
      <c r="A44" s="196" t="s">
        <v>98</v>
      </c>
      <c r="B44" s="197">
        <v>15</v>
      </c>
      <c r="C44" s="198">
        <v>1.56</v>
      </c>
      <c r="D44" s="198">
        <f>B44*C44</f>
        <v>23.400000000000002</v>
      </c>
      <c r="E44" s="199">
        <f>D44*$C$32/1000</f>
        <v>2.34</v>
      </c>
      <c r="F44" s="67" t="s">
        <v>25</v>
      </c>
      <c r="G44" s="200"/>
      <c r="H44" s="201">
        <f>D44*G44/1000</f>
        <v>0</v>
      </c>
      <c r="I44" s="202"/>
      <c r="K44" s="158"/>
      <c r="L44" s="12"/>
      <c r="M44" s="12"/>
      <c r="N44" s="12"/>
      <c r="O44" s="131"/>
      <c r="P44" s="12"/>
      <c r="Q44" s="132"/>
      <c r="R44" s="48"/>
    </row>
    <row r="45" spans="1:25" x14ac:dyDescent="0.2">
      <c r="A45" s="196" t="s">
        <v>99</v>
      </c>
      <c r="B45" s="197">
        <v>30</v>
      </c>
      <c r="C45" s="198">
        <v>1.6</v>
      </c>
      <c r="D45" s="198">
        <f>B45*C45</f>
        <v>48</v>
      </c>
      <c r="E45" s="199">
        <f>D45*$C$32/1000</f>
        <v>4.8</v>
      </c>
      <c r="F45" s="74" t="s">
        <v>16</v>
      </c>
      <c r="G45" s="200"/>
      <c r="H45" s="201">
        <f>D45*G45/1000</f>
        <v>0</v>
      </c>
      <c r="I45" s="202"/>
      <c r="J45" s="613"/>
      <c r="K45" s="613"/>
      <c r="L45" s="78"/>
      <c r="M45" s="78"/>
    </row>
    <row r="46" spans="1:25" x14ac:dyDescent="0.2">
      <c r="A46" s="196" t="s">
        <v>18</v>
      </c>
      <c r="B46" s="197">
        <v>10</v>
      </c>
      <c r="C46" s="198">
        <v>1</v>
      </c>
      <c r="D46" s="198">
        <f>B46*C46</f>
        <v>10</v>
      </c>
      <c r="E46" s="199">
        <f>D46*$C$32/400</f>
        <v>2.5</v>
      </c>
      <c r="F46" s="74" t="s">
        <v>105</v>
      </c>
      <c r="G46" s="200"/>
      <c r="H46" s="201">
        <f>D46*G46/400</f>
        <v>0</v>
      </c>
      <c r="J46" s="202"/>
      <c r="K46" s="202"/>
      <c r="L46" s="202"/>
      <c r="M46" s="202"/>
    </row>
    <row r="47" spans="1:25" x14ac:dyDescent="0.2">
      <c r="A47" s="196" t="s">
        <v>19</v>
      </c>
      <c r="B47" s="197">
        <v>15</v>
      </c>
      <c r="C47" s="198">
        <v>1</v>
      </c>
      <c r="D47" s="198">
        <f>B47*C47</f>
        <v>15</v>
      </c>
      <c r="E47" s="199">
        <f>D47*$C$32/1000</f>
        <v>1.5</v>
      </c>
      <c r="F47" s="74" t="s">
        <v>16</v>
      </c>
      <c r="G47" s="200"/>
      <c r="H47" s="201">
        <f>D47*G47/1000</f>
        <v>0</v>
      </c>
      <c r="I47" s="192"/>
      <c r="R47" s="192"/>
      <c r="S47" s="192"/>
      <c r="T47" s="192"/>
      <c r="U47" s="192"/>
      <c r="V47" s="192"/>
      <c r="W47" s="192"/>
      <c r="X47" s="192"/>
      <c r="Y47" s="192"/>
    </row>
    <row r="48" spans="1:25" x14ac:dyDescent="0.2">
      <c r="A48" s="203"/>
      <c r="B48" s="204"/>
      <c r="C48" s="204"/>
      <c r="D48" s="204"/>
      <c r="E48" s="205"/>
      <c r="F48" s="205"/>
      <c r="H48" s="206">
        <f>SUM(H43:H47)</f>
        <v>0</v>
      </c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</row>
    <row r="49" spans="1:25" x14ac:dyDescent="0.2">
      <c r="A49" s="203"/>
      <c r="B49" s="204"/>
      <c r="C49" s="204"/>
      <c r="D49" s="204"/>
      <c r="E49" s="205"/>
      <c r="F49" s="205"/>
      <c r="H49" s="207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</row>
    <row r="50" spans="1:25" x14ac:dyDescent="0.2">
      <c r="A50" s="603" t="s">
        <v>62</v>
      </c>
      <c r="B50" s="603"/>
      <c r="C50" s="603"/>
      <c r="D50" s="603"/>
      <c r="E50" s="603"/>
      <c r="F50" s="603"/>
      <c r="G50" s="603"/>
      <c r="H50" s="603"/>
      <c r="I50" s="603"/>
      <c r="J50" s="603"/>
      <c r="K50" s="603"/>
      <c r="L50" s="603"/>
      <c r="M50" s="603"/>
      <c r="N50" s="603"/>
      <c r="O50" s="603"/>
      <c r="P50" s="603"/>
      <c r="Q50" s="603"/>
      <c r="R50" s="603"/>
      <c r="S50" s="603"/>
      <c r="T50" s="603"/>
      <c r="U50" s="603"/>
      <c r="V50" s="603"/>
      <c r="W50" s="603"/>
      <c r="X50" s="603"/>
      <c r="Y50" s="603"/>
    </row>
    <row r="51" spans="1:25" ht="13.5" thickBot="1" x14ac:dyDescent="0.25">
      <c r="A51" s="192"/>
      <c r="B51" s="192"/>
      <c r="C51" s="192"/>
      <c r="D51" s="192"/>
      <c r="E51" s="192"/>
      <c r="F51" s="192"/>
      <c r="G51" s="192"/>
      <c r="H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208"/>
    </row>
    <row r="52" spans="1:25" ht="13.5" thickBot="1" x14ac:dyDescent="0.25">
      <c r="A52" s="566" t="s">
        <v>220</v>
      </c>
      <c r="B52" s="567"/>
      <c r="C52" s="567"/>
      <c r="D52" s="567"/>
      <c r="E52" s="567"/>
      <c r="F52" s="567"/>
      <c r="G52" s="567"/>
      <c r="H52" s="568"/>
      <c r="I52" s="192"/>
      <c r="K52" s="604" t="s">
        <v>117</v>
      </c>
      <c r="L52" s="605"/>
      <c r="M52" s="605"/>
      <c r="N52" s="605"/>
      <c r="O52" s="605"/>
      <c r="P52" s="605"/>
      <c r="Q52" s="605"/>
      <c r="R52" s="606"/>
      <c r="S52" s="76"/>
      <c r="T52" s="76"/>
      <c r="U52" s="76"/>
      <c r="V52" s="76"/>
      <c r="W52" s="76"/>
      <c r="X52" s="76"/>
      <c r="Y52" s="208"/>
    </row>
    <row r="53" spans="1:25" s="191" customFormat="1" ht="38.25" x14ac:dyDescent="0.2">
      <c r="A53" s="101" t="s">
        <v>13</v>
      </c>
      <c r="B53" s="102" t="s">
        <v>45</v>
      </c>
      <c r="C53" s="102" t="s">
        <v>107</v>
      </c>
      <c r="D53" s="102" t="s">
        <v>108</v>
      </c>
      <c r="E53" s="569" t="s">
        <v>15</v>
      </c>
      <c r="F53" s="570"/>
      <c r="G53" s="101" t="s">
        <v>0</v>
      </c>
      <c r="H53" s="101" t="s">
        <v>1</v>
      </c>
      <c r="I53" s="192"/>
      <c r="K53" s="193" t="s">
        <v>13</v>
      </c>
      <c r="L53" s="193" t="s">
        <v>17</v>
      </c>
      <c r="M53" s="65" t="s">
        <v>107</v>
      </c>
      <c r="N53" s="65" t="s">
        <v>108</v>
      </c>
      <c r="O53" s="607" t="s">
        <v>15</v>
      </c>
      <c r="P53" s="608"/>
      <c r="Q53" s="193" t="s">
        <v>0</v>
      </c>
      <c r="R53" s="193" t="s">
        <v>1</v>
      </c>
      <c r="S53" s="209"/>
      <c r="T53" s="209"/>
      <c r="U53" s="209"/>
      <c r="V53" s="209"/>
      <c r="W53" s="209"/>
      <c r="X53" s="209"/>
      <c r="Y53" s="77"/>
    </row>
    <row r="54" spans="1:25" s="191" customFormat="1" ht="15" x14ac:dyDescent="0.2">
      <c r="A54" s="90" t="s">
        <v>30</v>
      </c>
      <c r="B54" s="445">
        <v>30</v>
      </c>
      <c r="C54" s="92">
        <v>1</v>
      </c>
      <c r="D54" s="92">
        <f>B54*C54</f>
        <v>30</v>
      </c>
      <c r="E54" s="39">
        <f>D54*$C$32/500</f>
        <v>6</v>
      </c>
      <c r="F54" s="14" t="s">
        <v>35</v>
      </c>
      <c r="G54" s="108"/>
      <c r="H54" s="108">
        <f>D54*G54/500</f>
        <v>0</v>
      </c>
      <c r="I54" s="192"/>
      <c r="K54" s="196" t="s">
        <v>118</v>
      </c>
      <c r="L54" s="197">
        <v>40</v>
      </c>
      <c r="M54" s="198">
        <v>1</v>
      </c>
      <c r="N54" s="198">
        <f>L54*M54</f>
        <v>40</v>
      </c>
      <c r="O54" s="229">
        <f>L54*$C$32/1000</f>
        <v>4</v>
      </c>
      <c r="P54" s="57" t="s">
        <v>16</v>
      </c>
      <c r="Q54" s="212"/>
      <c r="R54" s="17">
        <f>N54*Q54/1000</f>
        <v>0</v>
      </c>
      <c r="S54" s="208"/>
      <c r="T54" s="208"/>
      <c r="U54" s="208"/>
      <c r="V54" s="208"/>
      <c r="W54" s="208"/>
      <c r="X54" s="208"/>
      <c r="Y54" s="73"/>
    </row>
    <row r="55" spans="1:25" s="191" customFormat="1" ht="15" x14ac:dyDescent="0.2">
      <c r="A55" s="8" t="s">
        <v>106</v>
      </c>
      <c r="B55" s="440">
        <v>25</v>
      </c>
      <c r="C55" s="113">
        <v>1</v>
      </c>
      <c r="D55" s="92">
        <f>B55*C55</f>
        <v>25</v>
      </c>
      <c r="E55" s="39">
        <f>D55*$C$32/1000</f>
        <v>2.5</v>
      </c>
      <c r="F55" s="14" t="s">
        <v>25</v>
      </c>
      <c r="G55" s="108"/>
      <c r="H55" s="108">
        <f>D55*G55/1000</f>
        <v>0</v>
      </c>
      <c r="K55" s="196" t="s">
        <v>28</v>
      </c>
      <c r="L55" s="197">
        <v>15</v>
      </c>
      <c r="M55" s="198">
        <v>1</v>
      </c>
      <c r="N55" s="198">
        <f>L55*M55</f>
        <v>15</v>
      </c>
      <c r="O55" s="229">
        <f>L55*$C$32/1000</f>
        <v>1.5</v>
      </c>
      <c r="P55" s="57" t="s">
        <v>16</v>
      </c>
      <c r="Q55" s="212"/>
      <c r="R55" s="17">
        <f>N55*Q55/1000</f>
        <v>0</v>
      </c>
      <c r="S55" s="587"/>
      <c r="T55" s="614"/>
      <c r="U55" s="614"/>
      <c r="V55" s="208"/>
      <c r="W55" s="208"/>
      <c r="X55" s="208"/>
      <c r="Y55" s="73"/>
    </row>
    <row r="56" spans="1:25" s="191" customFormat="1" ht="15" x14ac:dyDescent="0.2">
      <c r="A56" s="90" t="s">
        <v>3</v>
      </c>
      <c r="B56" s="446">
        <v>1</v>
      </c>
      <c r="C56" s="92">
        <v>1.18</v>
      </c>
      <c r="D56" s="92">
        <f>B56*C56</f>
        <v>1.18</v>
      </c>
      <c r="E56" s="39">
        <f>D56*$C$32/1000</f>
        <v>0.11799999999999999</v>
      </c>
      <c r="F56" s="14" t="s">
        <v>25</v>
      </c>
      <c r="G56" s="490"/>
      <c r="H56" s="108">
        <f>D56*G56/1000</f>
        <v>0</v>
      </c>
      <c r="K56" s="189"/>
      <c r="R56" s="232">
        <f>SUM(R54:R55)</f>
        <v>0</v>
      </c>
      <c r="S56" s="587"/>
      <c r="T56" s="77"/>
      <c r="U56" s="77"/>
      <c r="V56" s="77"/>
      <c r="W56" s="77"/>
      <c r="X56" s="77"/>
      <c r="Y56" s="73"/>
    </row>
    <row r="57" spans="1:25" s="191" customFormat="1" ht="15" x14ac:dyDescent="0.2">
      <c r="A57" s="104" t="s">
        <v>12</v>
      </c>
      <c r="B57" s="440">
        <v>0.4</v>
      </c>
      <c r="C57" s="113">
        <v>1.35</v>
      </c>
      <c r="D57" s="111">
        <f t="shared" ref="D57:D64" si="0">B57*C57</f>
        <v>0.54</v>
      </c>
      <c r="E57" s="39">
        <f>D57*$C$32/30</f>
        <v>1.8</v>
      </c>
      <c r="F57" s="91" t="s">
        <v>109</v>
      </c>
      <c r="G57" s="462"/>
      <c r="H57" s="108">
        <f>D57*G57/30</f>
        <v>0</v>
      </c>
      <c r="J57" s="224"/>
      <c r="K57" s="476"/>
      <c r="L57" s="476"/>
      <c r="M57" s="476"/>
      <c r="N57" s="233"/>
      <c r="O57" s="476"/>
      <c r="P57" s="234"/>
      <c r="Q57" s="234"/>
      <c r="R57" s="71"/>
      <c r="S57" s="77"/>
      <c r="T57" s="71"/>
      <c r="U57" s="71"/>
      <c r="V57" s="71"/>
      <c r="W57" s="73"/>
      <c r="X57" s="73"/>
      <c r="Y57" s="214"/>
    </row>
    <row r="58" spans="1:25" s="191" customFormat="1" ht="15" x14ac:dyDescent="0.2">
      <c r="A58" s="90" t="s">
        <v>6</v>
      </c>
      <c r="B58" s="440">
        <v>0.7</v>
      </c>
      <c r="C58" s="113">
        <v>1</v>
      </c>
      <c r="D58" s="92">
        <f t="shared" si="0"/>
        <v>0.7</v>
      </c>
      <c r="E58" s="39">
        <f>D58*$C$32/100</f>
        <v>0.7</v>
      </c>
      <c r="F58" s="14" t="s">
        <v>36</v>
      </c>
      <c r="G58" s="108"/>
      <c r="H58" s="108">
        <f>D58*G58/100</f>
        <v>0</v>
      </c>
      <c r="I58" s="192"/>
      <c r="R58" s="214"/>
      <c r="S58" s="71"/>
      <c r="T58" s="71"/>
      <c r="U58" s="71"/>
      <c r="V58" s="71"/>
      <c r="W58" s="73"/>
      <c r="X58" s="73"/>
      <c r="Y58" s="71"/>
    </row>
    <row r="59" spans="1:25" s="191" customFormat="1" ht="15" x14ac:dyDescent="0.2">
      <c r="A59" s="90" t="s">
        <v>9</v>
      </c>
      <c r="B59" s="445">
        <v>2</v>
      </c>
      <c r="C59" s="92">
        <v>1.43</v>
      </c>
      <c r="D59" s="97">
        <f t="shared" si="0"/>
        <v>2.86</v>
      </c>
      <c r="E59" s="39">
        <f>D59*$C$32/1000</f>
        <v>0.28599999999999998</v>
      </c>
      <c r="F59" s="14" t="s">
        <v>25</v>
      </c>
      <c r="G59" s="108"/>
      <c r="H59" s="108">
        <f>D59*G59/1000</f>
        <v>0</v>
      </c>
      <c r="I59" s="192"/>
    </row>
    <row r="60" spans="1:25" s="191" customFormat="1" ht="15" x14ac:dyDescent="0.2">
      <c r="A60" s="90" t="s">
        <v>2</v>
      </c>
      <c r="B60" s="444">
        <v>8</v>
      </c>
      <c r="C60" s="92">
        <v>1.08</v>
      </c>
      <c r="D60" s="97">
        <f t="shared" si="0"/>
        <v>8.64</v>
      </c>
      <c r="E60" s="39">
        <f>D60*$C$32/1000</f>
        <v>0.86399999999999999</v>
      </c>
      <c r="F60" s="14" t="s">
        <v>25</v>
      </c>
      <c r="G60" s="108"/>
      <c r="H60" s="108">
        <f>D60*G60/1000</f>
        <v>0</v>
      </c>
      <c r="I60" s="192"/>
    </row>
    <row r="61" spans="1:25" s="191" customFormat="1" ht="15" x14ac:dyDescent="0.2">
      <c r="A61" s="90" t="s">
        <v>127</v>
      </c>
      <c r="B61" s="440">
        <v>2</v>
      </c>
      <c r="C61" s="113">
        <v>1</v>
      </c>
      <c r="D61" s="97">
        <f t="shared" si="0"/>
        <v>2</v>
      </c>
      <c r="E61" s="39">
        <f>D61*$C$32/900</f>
        <v>0.22222222222222221</v>
      </c>
      <c r="F61" s="14" t="s">
        <v>40</v>
      </c>
      <c r="G61" s="108"/>
      <c r="H61" s="108">
        <f>D61*G61/900</f>
        <v>0</v>
      </c>
      <c r="I61" s="235"/>
    </row>
    <row r="62" spans="1:25" s="191" customFormat="1" ht="15" x14ac:dyDescent="0.2">
      <c r="A62" s="90" t="s">
        <v>5</v>
      </c>
      <c r="B62" s="440">
        <v>1.5</v>
      </c>
      <c r="C62" s="113">
        <v>1</v>
      </c>
      <c r="D62" s="97">
        <f t="shared" si="0"/>
        <v>1.5</v>
      </c>
      <c r="E62" s="39">
        <f>D62*$C$32/1000</f>
        <v>0.15</v>
      </c>
      <c r="F62" s="14" t="s">
        <v>25</v>
      </c>
      <c r="G62" s="108"/>
      <c r="H62" s="108">
        <f>D62*G62/1000</f>
        <v>0</v>
      </c>
      <c r="I62" s="236"/>
    </row>
    <row r="63" spans="1:25" s="191" customFormat="1" ht="15" x14ac:dyDescent="0.2">
      <c r="A63" s="90" t="s">
        <v>10</v>
      </c>
      <c r="B63" s="444">
        <v>16</v>
      </c>
      <c r="C63" s="113">
        <v>1.18</v>
      </c>
      <c r="D63" s="97">
        <f t="shared" si="0"/>
        <v>18.88</v>
      </c>
      <c r="E63" s="39">
        <f>D63*$C$32/1000</f>
        <v>1.8879999999999999</v>
      </c>
      <c r="F63" s="14" t="s">
        <v>25</v>
      </c>
      <c r="G63" s="108"/>
      <c r="H63" s="108">
        <f>D63*G63/1000</f>
        <v>0</v>
      </c>
      <c r="I63" s="477"/>
      <c r="J63" s="189"/>
    </row>
    <row r="64" spans="1:25" s="191" customFormat="1" ht="15" x14ac:dyDescent="0.2">
      <c r="A64" s="90" t="s">
        <v>33</v>
      </c>
      <c r="B64" s="445">
        <v>15</v>
      </c>
      <c r="C64" s="92">
        <v>1</v>
      </c>
      <c r="D64" s="97">
        <f t="shared" si="0"/>
        <v>15</v>
      </c>
      <c r="E64" s="39">
        <f>D64*$C$32/520</f>
        <v>2.8846153846153846</v>
      </c>
      <c r="F64" s="14" t="s">
        <v>122</v>
      </c>
      <c r="G64" s="108"/>
      <c r="H64" s="108">
        <f>D64*G64/520</f>
        <v>0</v>
      </c>
      <c r="I64" s="189"/>
      <c r="J64" s="189"/>
      <c r="N64" s="612"/>
      <c r="O64" s="612"/>
      <c r="P64" s="219"/>
      <c r="T64" s="189"/>
      <c r="U64" s="189"/>
      <c r="V64" s="189"/>
      <c r="W64" s="189"/>
      <c r="X64" s="189"/>
      <c r="Y64" s="189"/>
    </row>
    <row r="65" spans="1:25" s="191" customFormat="1" ht="15" x14ac:dyDescent="0.2">
      <c r="A65" s="38"/>
      <c r="B65" s="121"/>
      <c r="C65" s="121"/>
      <c r="D65" s="121"/>
      <c r="E65" s="36"/>
      <c r="F65" s="474"/>
      <c r="G65" s="132"/>
      <c r="H65" s="206">
        <f>SUM(H54:H64)</f>
        <v>0</v>
      </c>
      <c r="I65" s="218"/>
      <c r="J65" s="189"/>
      <c r="K65" s="189"/>
      <c r="L65" s="189"/>
      <c r="M65" s="189"/>
      <c r="O65" s="612"/>
      <c r="P65" s="612"/>
      <c r="Q65" s="219"/>
      <c r="T65" s="189"/>
      <c r="U65" s="189"/>
      <c r="V65" s="189"/>
      <c r="W65" s="189"/>
      <c r="X65" s="189"/>
      <c r="Y65" s="218"/>
    </row>
    <row r="66" spans="1:25" s="191" customFormat="1" ht="15" x14ac:dyDescent="0.2">
      <c r="A66" s="38"/>
      <c r="B66" s="121"/>
      <c r="C66" s="121"/>
      <c r="D66" s="121"/>
      <c r="E66" s="36"/>
      <c r="F66" s="474"/>
      <c r="G66" s="132"/>
      <c r="H66" s="132"/>
      <c r="I66" s="218"/>
      <c r="J66" s="189"/>
      <c r="K66" s="189"/>
      <c r="L66" s="189"/>
      <c r="M66" s="189"/>
      <c r="N66" s="600" t="s">
        <v>146</v>
      </c>
      <c r="O66" s="601"/>
      <c r="P66" s="221">
        <f>SUM(H48,H65,R56)</f>
        <v>0</v>
      </c>
      <c r="Q66" s="189"/>
      <c r="R66" s="218"/>
      <c r="S66" s="189"/>
      <c r="T66" s="189"/>
      <c r="U66" s="189"/>
      <c r="V66" s="189"/>
      <c r="W66" s="189"/>
      <c r="X66" s="189"/>
      <c r="Y66" s="218"/>
    </row>
    <row r="67" spans="1:25" s="191" customFormat="1" ht="15" x14ac:dyDescent="0.2">
      <c r="A67" s="158"/>
      <c r="B67" s="12"/>
      <c r="C67" s="12"/>
      <c r="D67" s="12"/>
      <c r="E67" s="492"/>
      <c r="F67" s="12"/>
      <c r="G67" s="85"/>
      <c r="H67" s="48"/>
      <c r="I67" s="218"/>
      <c r="J67" s="222"/>
      <c r="K67" s="222"/>
      <c r="L67" s="222"/>
      <c r="M67" s="222"/>
      <c r="N67" s="222"/>
      <c r="O67" s="222"/>
      <c r="P67" s="222"/>
      <c r="Q67" s="222"/>
      <c r="R67" s="218"/>
      <c r="S67" s="222"/>
      <c r="T67" s="222"/>
      <c r="U67" s="222"/>
      <c r="V67" s="222"/>
      <c r="W67" s="222"/>
      <c r="X67" s="222"/>
      <c r="Y67" s="192"/>
    </row>
    <row r="68" spans="1:25" s="222" customFormat="1" x14ac:dyDescent="0.2">
      <c r="A68" s="602" t="s">
        <v>24</v>
      </c>
      <c r="B68" s="602"/>
      <c r="C68" s="602"/>
      <c r="D68" s="602"/>
      <c r="E68" s="602"/>
      <c r="F68" s="602"/>
      <c r="G68" s="602"/>
      <c r="H68" s="602"/>
      <c r="I68" s="602"/>
      <c r="J68" s="602"/>
      <c r="K68" s="602"/>
      <c r="L68" s="602"/>
      <c r="M68" s="602"/>
      <c r="N68" s="602"/>
      <c r="O68" s="602"/>
      <c r="P68" s="602"/>
      <c r="Q68" s="602"/>
      <c r="R68" s="602"/>
      <c r="S68" s="602"/>
      <c r="T68" s="602"/>
      <c r="U68" s="602"/>
      <c r="V68" s="602"/>
      <c r="W68" s="602"/>
      <c r="X68" s="602"/>
      <c r="Y68" s="602"/>
    </row>
    <row r="69" spans="1:25" s="222" customFormat="1" x14ac:dyDescent="0.2">
      <c r="I69" s="192"/>
      <c r="J69" s="218"/>
      <c r="K69" s="218"/>
      <c r="L69" s="218"/>
      <c r="M69" s="218"/>
      <c r="N69" s="218"/>
      <c r="O69" s="218"/>
      <c r="P69" s="218"/>
      <c r="Q69" s="218"/>
      <c r="R69" s="192"/>
      <c r="S69" s="218"/>
      <c r="T69" s="218"/>
      <c r="U69" s="218"/>
      <c r="V69" s="218"/>
      <c r="W69" s="218"/>
      <c r="X69" s="218"/>
      <c r="Y69" s="189"/>
    </row>
    <row r="70" spans="1:25" x14ac:dyDescent="0.2">
      <c r="A70" s="603" t="s">
        <v>145</v>
      </c>
      <c r="B70" s="603"/>
      <c r="C70" s="603"/>
      <c r="D70" s="603"/>
      <c r="E70" s="603"/>
      <c r="F70" s="603"/>
      <c r="G70" s="603"/>
      <c r="H70" s="603"/>
      <c r="I70" s="603"/>
      <c r="J70" s="603"/>
      <c r="K70" s="603"/>
      <c r="L70" s="603"/>
      <c r="M70" s="603"/>
      <c r="N70" s="603"/>
      <c r="O70" s="603"/>
      <c r="P70" s="603"/>
      <c r="Q70" s="603"/>
      <c r="R70" s="603"/>
      <c r="S70" s="603"/>
      <c r="T70" s="603"/>
      <c r="U70" s="603"/>
      <c r="V70" s="603"/>
      <c r="W70" s="603"/>
      <c r="X70" s="603"/>
      <c r="Y70" s="603"/>
    </row>
    <row r="71" spans="1:25" s="191" customFormat="1" ht="13.5" thickBot="1" x14ac:dyDescent="0.25">
      <c r="A71" s="192"/>
      <c r="B71" s="192"/>
      <c r="C71" s="192"/>
      <c r="D71" s="192"/>
      <c r="E71" s="192"/>
      <c r="F71" s="192"/>
      <c r="G71" s="192"/>
      <c r="H71" s="192"/>
      <c r="I71" s="223"/>
      <c r="J71" s="192"/>
      <c r="K71" s="192"/>
      <c r="L71" s="192"/>
      <c r="M71" s="192"/>
      <c r="N71" s="192"/>
      <c r="O71" s="192"/>
      <c r="P71" s="192"/>
      <c r="Q71" s="192"/>
      <c r="S71" s="192"/>
      <c r="T71" s="192"/>
      <c r="U71" s="192"/>
      <c r="V71" s="192"/>
      <c r="W71" s="192"/>
      <c r="X71" s="192"/>
    </row>
    <row r="72" spans="1:25" s="191" customFormat="1" ht="13.5" thickBot="1" x14ac:dyDescent="0.25">
      <c r="A72" s="604" t="s">
        <v>174</v>
      </c>
      <c r="B72" s="605"/>
      <c r="C72" s="605"/>
      <c r="D72" s="605"/>
      <c r="E72" s="605"/>
      <c r="F72" s="605"/>
      <c r="G72" s="605"/>
      <c r="H72" s="606"/>
      <c r="J72" s="189"/>
      <c r="K72" s="189"/>
      <c r="L72" s="189"/>
      <c r="M72" s="189"/>
      <c r="N72" s="189"/>
      <c r="O72" s="189"/>
      <c r="P72" s="189"/>
      <c r="Q72" s="189"/>
      <c r="S72" s="189"/>
      <c r="T72" s="189"/>
      <c r="U72" s="189"/>
      <c r="V72" s="189"/>
      <c r="W72" s="189"/>
      <c r="X72" s="189"/>
    </row>
    <row r="73" spans="1:25" s="191" customFormat="1" ht="25.5" x14ac:dyDescent="0.2">
      <c r="A73" s="193" t="s">
        <v>13</v>
      </c>
      <c r="B73" s="193" t="s">
        <v>17</v>
      </c>
      <c r="C73" s="65" t="s">
        <v>107</v>
      </c>
      <c r="D73" s="65" t="s">
        <v>108</v>
      </c>
      <c r="E73" s="607" t="s">
        <v>15</v>
      </c>
      <c r="F73" s="608"/>
      <c r="G73" s="193" t="s">
        <v>0</v>
      </c>
      <c r="H73" s="193" t="s">
        <v>1</v>
      </c>
      <c r="I73" s="76"/>
    </row>
    <row r="74" spans="1:25" s="191" customFormat="1" ht="15" x14ac:dyDescent="0.2">
      <c r="A74" s="104" t="s">
        <v>27</v>
      </c>
      <c r="B74" s="96">
        <v>40</v>
      </c>
      <c r="C74" s="113">
        <v>1.55</v>
      </c>
      <c r="D74" s="113">
        <f>B74*C74</f>
        <v>62</v>
      </c>
      <c r="E74" s="4">
        <f>D74*$C$26/1000</f>
        <v>0</v>
      </c>
      <c r="F74" s="57" t="s">
        <v>16</v>
      </c>
      <c r="G74" s="108"/>
      <c r="H74" s="17">
        <f>D74*G74/1000</f>
        <v>0</v>
      </c>
    </row>
    <row r="75" spans="1:25" s="191" customFormat="1" ht="15" x14ac:dyDescent="0.2">
      <c r="A75" s="104" t="s">
        <v>18</v>
      </c>
      <c r="B75" s="96">
        <v>10</v>
      </c>
      <c r="C75" s="113">
        <v>1</v>
      </c>
      <c r="D75" s="113">
        <f t="shared" ref="D75:D76" si="1">B75*C75</f>
        <v>10</v>
      </c>
      <c r="E75" s="4">
        <f>D75*$C$26/400</f>
        <v>0</v>
      </c>
      <c r="F75" s="57" t="s">
        <v>38</v>
      </c>
      <c r="G75" s="108"/>
      <c r="H75" s="17">
        <f>D75*G75/400</f>
        <v>0</v>
      </c>
      <c r="J75" s="76"/>
      <c r="K75" s="76"/>
      <c r="L75" s="76"/>
      <c r="M75" s="76"/>
      <c r="N75" s="76"/>
      <c r="O75" s="76"/>
      <c r="P75" s="76"/>
      <c r="Q75" s="76"/>
    </row>
    <row r="76" spans="1:25" s="191" customFormat="1" ht="15" x14ac:dyDescent="0.2">
      <c r="A76" s="104" t="s">
        <v>19</v>
      </c>
      <c r="B76" s="96">
        <v>10</v>
      </c>
      <c r="C76" s="113">
        <v>1</v>
      </c>
      <c r="D76" s="113">
        <f t="shared" si="1"/>
        <v>10</v>
      </c>
      <c r="E76" s="4">
        <f>D76*$C$26/1000</f>
        <v>0</v>
      </c>
      <c r="F76" s="57" t="s">
        <v>16</v>
      </c>
      <c r="G76" s="108"/>
      <c r="H76" s="17">
        <f t="shared" ref="H76" si="2">D76*G76/1000</f>
        <v>0</v>
      </c>
      <c r="J76" s="535"/>
      <c r="K76" s="535"/>
      <c r="L76" s="535"/>
      <c r="M76" s="535"/>
      <c r="N76" s="535"/>
      <c r="O76" s="535"/>
      <c r="P76" s="535"/>
      <c r="Q76" s="535"/>
    </row>
    <row r="77" spans="1:25" s="191" customFormat="1" ht="15" x14ac:dyDescent="0.2">
      <c r="A77" s="38"/>
      <c r="B77" s="12"/>
      <c r="C77" s="12"/>
      <c r="D77" s="12"/>
      <c r="E77" s="12"/>
      <c r="F77" s="12"/>
      <c r="G77" s="79"/>
      <c r="H77" s="125">
        <f>SUM(H74:H76)</f>
        <v>0</v>
      </c>
      <c r="I77" s="189"/>
      <c r="Y77" s="189"/>
    </row>
    <row r="78" spans="1:25" s="191" customFormat="1" ht="15" x14ac:dyDescent="0.2">
      <c r="A78" s="38"/>
      <c r="B78" s="12"/>
      <c r="C78" s="12"/>
      <c r="D78" s="12"/>
      <c r="E78" s="12"/>
      <c r="F78" s="12"/>
      <c r="G78" s="79"/>
      <c r="H78" s="380"/>
      <c r="I78" s="189"/>
      <c r="Y78" s="189"/>
    </row>
    <row r="79" spans="1:25" s="191" customFormat="1" x14ac:dyDescent="0.2">
      <c r="A79" s="603" t="s">
        <v>62</v>
      </c>
      <c r="B79" s="603"/>
      <c r="C79" s="603"/>
      <c r="D79" s="603"/>
      <c r="E79" s="603"/>
      <c r="F79" s="603"/>
      <c r="G79" s="603"/>
      <c r="H79" s="603"/>
      <c r="I79" s="603"/>
      <c r="J79" s="603"/>
      <c r="K79" s="603"/>
      <c r="L79" s="603"/>
      <c r="M79" s="603"/>
      <c r="N79" s="603"/>
      <c r="O79" s="603"/>
      <c r="P79" s="603"/>
      <c r="Q79" s="603"/>
      <c r="R79" s="603"/>
      <c r="S79" s="603"/>
      <c r="T79" s="603"/>
      <c r="U79" s="603"/>
      <c r="V79" s="603"/>
      <c r="W79" s="603"/>
      <c r="X79" s="603"/>
      <c r="Y79" s="192"/>
    </row>
    <row r="80" spans="1:25" s="191" customFormat="1" ht="13.5" thickBot="1" x14ac:dyDescent="0.25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</row>
    <row r="81" spans="1:18" ht="13.5" thickBot="1" x14ac:dyDescent="0.25">
      <c r="A81" s="566" t="s">
        <v>224</v>
      </c>
      <c r="B81" s="567"/>
      <c r="C81" s="567"/>
      <c r="D81" s="567"/>
      <c r="E81" s="567"/>
      <c r="F81" s="567"/>
      <c r="G81" s="567"/>
      <c r="H81" s="568"/>
      <c r="I81" s="192"/>
      <c r="J81" s="609"/>
      <c r="K81" s="609"/>
      <c r="L81" s="609"/>
      <c r="M81" s="609"/>
      <c r="N81" s="609"/>
      <c r="O81" s="609"/>
      <c r="P81" s="609"/>
      <c r="Q81" s="609"/>
      <c r="R81" s="192"/>
    </row>
    <row r="82" spans="1:18" s="191" customFormat="1" ht="25.5" x14ac:dyDescent="0.2">
      <c r="A82" s="101" t="s">
        <v>13</v>
      </c>
      <c r="B82" s="102" t="s">
        <v>45</v>
      </c>
      <c r="C82" s="103" t="s">
        <v>107</v>
      </c>
      <c r="D82" s="103" t="s">
        <v>108</v>
      </c>
      <c r="E82" s="569" t="s">
        <v>15</v>
      </c>
      <c r="F82" s="570"/>
      <c r="G82" s="101" t="s">
        <v>0</v>
      </c>
      <c r="H82" s="101" t="s">
        <v>1</v>
      </c>
      <c r="I82" s="192"/>
      <c r="J82" s="609"/>
      <c r="K82" s="609"/>
      <c r="L82" s="609"/>
      <c r="M82" s="609"/>
      <c r="N82" s="609"/>
      <c r="O82" s="609"/>
      <c r="P82" s="609"/>
      <c r="Q82" s="609"/>
      <c r="R82" s="192"/>
    </row>
    <row r="83" spans="1:18" s="191" customFormat="1" ht="15" x14ac:dyDescent="0.2">
      <c r="A83" s="8" t="s">
        <v>113</v>
      </c>
      <c r="B83" s="440">
        <v>25</v>
      </c>
      <c r="C83" s="113">
        <v>1.21</v>
      </c>
      <c r="D83" s="105">
        <f>B83*C83</f>
        <v>30.25</v>
      </c>
      <c r="E83" s="39">
        <f t="shared" ref="E83:E89" si="3">D83*$C$32/1000</f>
        <v>3.0249999999999999</v>
      </c>
      <c r="F83" s="57" t="s">
        <v>16</v>
      </c>
      <c r="G83" s="108"/>
      <c r="H83" s="108">
        <f>D83*G83/1000</f>
        <v>0</v>
      </c>
      <c r="I83" s="192"/>
      <c r="J83" s="245"/>
      <c r="K83" s="245"/>
      <c r="L83" s="61"/>
      <c r="M83" s="61"/>
      <c r="N83" s="600"/>
      <c r="O83" s="600"/>
      <c r="P83" s="245"/>
      <c r="Q83" s="245"/>
      <c r="R83" s="226"/>
    </row>
    <row r="84" spans="1:18" s="191" customFormat="1" ht="15" x14ac:dyDescent="0.2">
      <c r="A84" s="8" t="s">
        <v>68</v>
      </c>
      <c r="B84" s="440">
        <v>25</v>
      </c>
      <c r="C84" s="113">
        <v>1</v>
      </c>
      <c r="D84" s="113">
        <f>B84*C84</f>
        <v>25</v>
      </c>
      <c r="E84" s="39">
        <f t="shared" si="3"/>
        <v>2.5</v>
      </c>
      <c r="F84" s="57" t="s">
        <v>16</v>
      </c>
      <c r="G84" s="108"/>
      <c r="H84" s="108">
        <f>D84*G84/1000</f>
        <v>0</v>
      </c>
      <c r="I84" s="192"/>
      <c r="J84" s="230"/>
      <c r="K84" s="231"/>
      <c r="L84" s="231"/>
      <c r="M84" s="231"/>
      <c r="N84" s="515"/>
      <c r="O84" s="474"/>
      <c r="P84" s="242"/>
      <c r="Q84" s="247"/>
      <c r="R84" s="192"/>
    </row>
    <row r="85" spans="1:18" s="191" customFormat="1" ht="15" x14ac:dyDescent="0.2">
      <c r="A85" s="104" t="s">
        <v>52</v>
      </c>
      <c r="B85" s="440">
        <v>10</v>
      </c>
      <c r="C85" s="113">
        <v>1.1599999999999999</v>
      </c>
      <c r="D85" s="105">
        <f t="shared" ref="D85:D89" si="4">B85*C85</f>
        <v>11.6</v>
      </c>
      <c r="E85" s="39">
        <f t="shared" si="3"/>
        <v>1.1599999999999999</v>
      </c>
      <c r="F85" s="91" t="s">
        <v>25</v>
      </c>
      <c r="G85" s="106"/>
      <c r="H85" s="108">
        <f t="shared" ref="H85:H89" si="5">D85*G85/1000</f>
        <v>0</v>
      </c>
      <c r="J85" s="230"/>
      <c r="K85" s="231"/>
      <c r="L85" s="231"/>
      <c r="M85" s="231"/>
      <c r="N85" s="515"/>
      <c r="O85" s="474"/>
      <c r="P85" s="242"/>
      <c r="Q85" s="247"/>
      <c r="R85" s="230"/>
    </row>
    <row r="86" spans="1:18" s="191" customFormat="1" ht="15" x14ac:dyDescent="0.2">
      <c r="A86" s="8" t="s">
        <v>7</v>
      </c>
      <c r="B86" s="440">
        <v>15</v>
      </c>
      <c r="C86" s="113">
        <v>1.18</v>
      </c>
      <c r="D86" s="105">
        <f t="shared" si="4"/>
        <v>17.7</v>
      </c>
      <c r="E86" s="39">
        <f t="shared" si="3"/>
        <v>1.77</v>
      </c>
      <c r="F86" s="57" t="s">
        <v>16</v>
      </c>
      <c r="G86" s="108"/>
      <c r="H86" s="108">
        <f t="shared" si="5"/>
        <v>0</v>
      </c>
      <c r="Q86" s="250"/>
      <c r="R86" s="226"/>
    </row>
    <row r="87" spans="1:18" s="191" customFormat="1" ht="15" x14ac:dyDescent="0.2">
      <c r="A87" s="8" t="s">
        <v>8</v>
      </c>
      <c r="B87" s="440">
        <v>15</v>
      </c>
      <c r="C87" s="113">
        <v>1.46</v>
      </c>
      <c r="D87" s="105">
        <f t="shared" si="4"/>
        <v>21.9</v>
      </c>
      <c r="E87" s="39">
        <f t="shared" si="3"/>
        <v>2.19</v>
      </c>
      <c r="F87" s="57" t="s">
        <v>16</v>
      </c>
      <c r="G87" s="108"/>
      <c r="H87" s="108">
        <f t="shared" si="5"/>
        <v>0</v>
      </c>
      <c r="J87" s="224"/>
      <c r="K87" s="208"/>
      <c r="L87" s="208"/>
      <c r="M87" s="208"/>
      <c r="N87" s="233"/>
      <c r="O87" s="208"/>
      <c r="P87" s="234"/>
      <c r="Q87" s="234"/>
      <c r="R87" s="226"/>
    </row>
    <row r="88" spans="1:18" s="191" customFormat="1" ht="15" x14ac:dyDescent="0.2">
      <c r="A88" s="8" t="s">
        <v>10</v>
      </c>
      <c r="B88" s="450">
        <v>8</v>
      </c>
      <c r="C88" s="113">
        <v>1.18</v>
      </c>
      <c r="D88" s="105">
        <f t="shared" si="4"/>
        <v>9.44</v>
      </c>
      <c r="E88" s="39">
        <f t="shared" si="3"/>
        <v>0.94399999999999995</v>
      </c>
      <c r="F88" s="57" t="s">
        <v>16</v>
      </c>
      <c r="G88" s="108"/>
      <c r="H88" s="108">
        <f t="shared" si="5"/>
        <v>0</v>
      </c>
      <c r="I88" s="192"/>
      <c r="R88" s="226"/>
    </row>
    <row r="89" spans="1:18" s="191" customFormat="1" ht="15" x14ac:dyDescent="0.2">
      <c r="A89" s="8" t="s">
        <v>2</v>
      </c>
      <c r="B89" s="444">
        <v>4</v>
      </c>
      <c r="C89" s="113">
        <v>1.08</v>
      </c>
      <c r="D89" s="112">
        <f t="shared" si="4"/>
        <v>4.32</v>
      </c>
      <c r="E89" s="39">
        <f t="shared" si="3"/>
        <v>0.432</v>
      </c>
      <c r="F89" s="57" t="s">
        <v>16</v>
      </c>
      <c r="G89" s="108"/>
      <c r="H89" s="108">
        <f t="shared" si="5"/>
        <v>0</v>
      </c>
      <c r="I89" s="192"/>
      <c r="R89" s="192"/>
    </row>
    <row r="90" spans="1:18" s="191" customFormat="1" ht="15" x14ac:dyDescent="0.2">
      <c r="A90" s="104" t="s">
        <v>12</v>
      </c>
      <c r="B90" s="440">
        <v>0.4</v>
      </c>
      <c r="C90" s="113">
        <v>1.35</v>
      </c>
      <c r="D90" s="112">
        <f t="shared" ref="D90:D95" si="6">B90*C90</f>
        <v>0.54</v>
      </c>
      <c r="E90" s="39">
        <f>D90*$C$32/30</f>
        <v>1.8</v>
      </c>
      <c r="F90" s="91" t="s">
        <v>109</v>
      </c>
      <c r="G90" s="108"/>
      <c r="H90" s="108">
        <f>D90*G90/30</f>
        <v>0</v>
      </c>
      <c r="I90" s="192"/>
      <c r="R90" s="192"/>
    </row>
    <row r="91" spans="1:18" s="191" customFormat="1" ht="15" x14ac:dyDescent="0.2">
      <c r="A91" s="8" t="s">
        <v>3</v>
      </c>
      <c r="B91" s="445">
        <v>0.5</v>
      </c>
      <c r="C91" s="92">
        <v>1.18</v>
      </c>
      <c r="D91" s="112">
        <f t="shared" si="6"/>
        <v>0.59</v>
      </c>
      <c r="E91" s="39">
        <f>D91*$C$32/1000</f>
        <v>5.8999999999999997E-2</v>
      </c>
      <c r="F91" s="57" t="s">
        <v>16</v>
      </c>
      <c r="G91" s="108"/>
      <c r="H91" s="108">
        <f t="shared" ref="H91" si="7">D91*G91/1000</f>
        <v>0</v>
      </c>
      <c r="I91" s="235"/>
      <c r="R91" s="192"/>
    </row>
    <row r="92" spans="1:18" s="191" customFormat="1" ht="15" x14ac:dyDescent="0.2">
      <c r="A92" s="8" t="s">
        <v>6</v>
      </c>
      <c r="B92" s="440">
        <v>0.7</v>
      </c>
      <c r="C92" s="113">
        <v>1</v>
      </c>
      <c r="D92" s="113">
        <f t="shared" si="6"/>
        <v>0.7</v>
      </c>
      <c r="E92" s="39">
        <f>D92*$C$32/100</f>
        <v>0.7</v>
      </c>
      <c r="F92" s="57" t="s">
        <v>71</v>
      </c>
      <c r="G92" s="108"/>
      <c r="H92" s="108">
        <f>D92*G92/100</f>
        <v>0</v>
      </c>
      <c r="I92" s="236"/>
      <c r="R92" s="222"/>
    </row>
    <row r="93" spans="1:18" s="191" customFormat="1" ht="15" x14ac:dyDescent="0.2">
      <c r="A93" s="8" t="s">
        <v>127</v>
      </c>
      <c r="B93" s="440">
        <v>1</v>
      </c>
      <c r="C93" s="113">
        <v>1</v>
      </c>
      <c r="D93" s="113">
        <f t="shared" si="6"/>
        <v>1</v>
      </c>
      <c r="E93" s="39">
        <f>D93*$C$32/900</f>
        <v>0.1111111111111111</v>
      </c>
      <c r="F93" s="155" t="s">
        <v>131</v>
      </c>
      <c r="G93" s="108"/>
      <c r="H93" s="108">
        <f>D93*G93/900</f>
        <v>0</v>
      </c>
      <c r="I93" s="76"/>
      <c r="J93" s="189"/>
    </row>
    <row r="94" spans="1:18" s="191" customFormat="1" ht="15" x14ac:dyDescent="0.2">
      <c r="A94" s="8" t="s">
        <v>5</v>
      </c>
      <c r="B94" s="440">
        <v>0.5</v>
      </c>
      <c r="C94" s="113">
        <v>1</v>
      </c>
      <c r="D94" s="113">
        <f t="shared" si="6"/>
        <v>0.5</v>
      </c>
      <c r="E94" s="39">
        <f>D94*$C$32/1000</f>
        <v>0.05</v>
      </c>
      <c r="F94" s="57" t="s">
        <v>16</v>
      </c>
      <c r="G94" s="108"/>
      <c r="H94" s="108">
        <f t="shared" ref="H94" si="8">D94*G94/1000</f>
        <v>0</v>
      </c>
      <c r="I94" s="189"/>
      <c r="J94" s="189"/>
      <c r="N94" s="612"/>
      <c r="O94" s="612"/>
      <c r="P94" s="219"/>
    </row>
    <row r="95" spans="1:18" s="191" customFormat="1" ht="15" x14ac:dyDescent="0.2">
      <c r="A95" s="8" t="s">
        <v>209</v>
      </c>
      <c r="B95" s="440">
        <v>20</v>
      </c>
      <c r="C95" s="113">
        <v>1</v>
      </c>
      <c r="D95" s="113">
        <f t="shared" si="6"/>
        <v>20</v>
      </c>
      <c r="E95" s="39">
        <f>D95*$C$32/400</f>
        <v>5</v>
      </c>
      <c r="F95" s="57" t="s">
        <v>34</v>
      </c>
      <c r="G95" s="108"/>
      <c r="H95" s="108">
        <f>D95*G95/400</f>
        <v>0</v>
      </c>
      <c r="I95" s="76"/>
      <c r="J95" s="68"/>
      <c r="K95" s="77"/>
      <c r="L95" s="77"/>
      <c r="M95" s="77"/>
      <c r="N95" s="600" t="s">
        <v>149</v>
      </c>
      <c r="O95" s="601"/>
      <c r="P95" s="238">
        <f>SUM(H77,H96)</f>
        <v>0</v>
      </c>
      <c r="Q95" s="72"/>
      <c r="R95" s="209"/>
    </row>
    <row r="96" spans="1:18" s="191" customFormat="1" ht="15" x14ac:dyDescent="0.2">
      <c r="A96" s="409"/>
      <c r="B96" s="118"/>
      <c r="C96" s="118"/>
      <c r="D96" s="118"/>
      <c r="E96" s="410"/>
      <c r="F96" s="118"/>
      <c r="G96" s="79"/>
      <c r="H96" s="47">
        <f>SUM(H83:H95)</f>
        <v>0</v>
      </c>
    </row>
    <row r="97" spans="1:25" s="191" customFormat="1" ht="15" x14ac:dyDescent="0.2">
      <c r="A97" s="409"/>
      <c r="B97" s="118"/>
      <c r="C97" s="118"/>
      <c r="D97" s="118"/>
      <c r="E97" s="410"/>
      <c r="F97" s="118"/>
      <c r="G97" s="79"/>
      <c r="H97" s="46"/>
    </row>
    <row r="98" spans="1:25" s="191" customFormat="1" x14ac:dyDescent="0.2">
      <c r="A98" s="602" t="s">
        <v>20</v>
      </c>
      <c r="B98" s="602"/>
      <c r="C98" s="602"/>
      <c r="D98" s="602"/>
      <c r="E98" s="602"/>
      <c r="F98" s="602"/>
      <c r="G98" s="602"/>
      <c r="H98" s="602"/>
      <c r="I98" s="602"/>
      <c r="J98" s="602"/>
      <c r="K98" s="602"/>
      <c r="L98" s="602"/>
      <c r="M98" s="602"/>
      <c r="N98" s="602"/>
      <c r="O98" s="602"/>
      <c r="P98" s="602"/>
      <c r="Q98" s="602"/>
      <c r="R98" s="602"/>
      <c r="S98" s="602"/>
      <c r="T98" s="602"/>
      <c r="U98" s="602"/>
      <c r="V98" s="602"/>
      <c r="W98" s="602"/>
      <c r="X98" s="602"/>
      <c r="Y98" s="602"/>
    </row>
    <row r="99" spans="1:25" s="191" customFormat="1" x14ac:dyDescent="0.2"/>
    <row r="100" spans="1:25" s="191" customFormat="1" x14ac:dyDescent="0.2">
      <c r="A100" s="603" t="s">
        <v>145</v>
      </c>
      <c r="B100" s="603"/>
      <c r="C100" s="603"/>
      <c r="D100" s="603"/>
      <c r="E100" s="603"/>
      <c r="F100" s="603"/>
      <c r="G100" s="603"/>
      <c r="H100" s="603"/>
      <c r="I100" s="603"/>
      <c r="J100" s="603"/>
      <c r="K100" s="603"/>
      <c r="L100" s="603"/>
      <c r="M100" s="603"/>
      <c r="N100" s="603"/>
      <c r="O100" s="603"/>
      <c r="P100" s="603"/>
      <c r="Q100" s="603"/>
      <c r="R100" s="603"/>
      <c r="S100" s="603"/>
      <c r="T100" s="603"/>
      <c r="U100" s="603"/>
      <c r="V100" s="603"/>
      <c r="W100" s="603"/>
      <c r="X100" s="603"/>
      <c r="Y100" s="603"/>
    </row>
    <row r="101" spans="1:25" s="222" customFormat="1" ht="17.25" customHeight="1" thickBot="1" x14ac:dyDescent="0.25">
      <c r="A101" s="76"/>
      <c r="B101" s="76"/>
      <c r="C101" s="76"/>
      <c r="D101" s="76"/>
      <c r="E101" s="76"/>
      <c r="F101" s="76"/>
      <c r="G101" s="76"/>
      <c r="H101" s="76"/>
      <c r="I101" s="76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</row>
    <row r="102" spans="1:25" s="222" customFormat="1" ht="19.5" customHeight="1" thickBot="1" x14ac:dyDescent="0.25">
      <c r="A102" s="566" t="s">
        <v>212</v>
      </c>
      <c r="B102" s="567"/>
      <c r="C102" s="567"/>
      <c r="D102" s="567"/>
      <c r="E102" s="567"/>
      <c r="F102" s="567"/>
      <c r="G102" s="567"/>
      <c r="H102" s="568"/>
      <c r="I102" s="189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</row>
    <row r="103" spans="1:25" s="191" customFormat="1" ht="25.5" customHeight="1" x14ac:dyDescent="0.2">
      <c r="A103" s="101" t="s">
        <v>13</v>
      </c>
      <c r="B103" s="101" t="s">
        <v>17</v>
      </c>
      <c r="C103" s="135" t="s">
        <v>107</v>
      </c>
      <c r="D103" s="135" t="s">
        <v>108</v>
      </c>
      <c r="E103" s="569" t="s">
        <v>15</v>
      </c>
      <c r="F103" s="570"/>
      <c r="G103" s="101" t="s">
        <v>42</v>
      </c>
      <c r="H103" s="101" t="s">
        <v>43</v>
      </c>
      <c r="I103" s="20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</row>
    <row r="104" spans="1:25" ht="15" x14ac:dyDescent="0.2">
      <c r="A104" s="104" t="s">
        <v>27</v>
      </c>
      <c r="B104" s="442">
        <v>20</v>
      </c>
      <c r="C104" s="113">
        <v>1.55</v>
      </c>
      <c r="D104" s="113">
        <f>B104*C104</f>
        <v>31</v>
      </c>
      <c r="E104" s="39">
        <f>D104*$C$32/1000</f>
        <v>3.1</v>
      </c>
      <c r="F104" s="137" t="s">
        <v>25</v>
      </c>
      <c r="G104" s="138"/>
      <c r="H104" s="15">
        <f>D104*G104/1000</f>
        <v>0</v>
      </c>
      <c r="I104" s="78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</row>
    <row r="105" spans="1:25" ht="15" x14ac:dyDescent="0.2">
      <c r="A105" s="104" t="s">
        <v>98</v>
      </c>
      <c r="B105" s="442">
        <v>15</v>
      </c>
      <c r="C105" s="113">
        <v>1.56</v>
      </c>
      <c r="D105" s="112">
        <f t="shared" ref="D105:D106" si="9">B105*C105</f>
        <v>23.400000000000002</v>
      </c>
      <c r="E105" s="39">
        <f>D105*$C$32/1000</f>
        <v>2.34</v>
      </c>
      <c r="F105" s="137" t="s">
        <v>25</v>
      </c>
      <c r="G105" s="138"/>
      <c r="H105" s="15">
        <f>D105*G105/1000</f>
        <v>0</v>
      </c>
      <c r="I105" s="220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</row>
    <row r="106" spans="1:25" ht="15" x14ac:dyDescent="0.2">
      <c r="A106" s="104" t="s">
        <v>99</v>
      </c>
      <c r="B106" s="442">
        <v>30</v>
      </c>
      <c r="C106" s="113">
        <v>1.6</v>
      </c>
      <c r="D106" s="112">
        <f t="shared" si="9"/>
        <v>48</v>
      </c>
      <c r="E106" s="39">
        <f>D106*$C$32/1000</f>
        <v>4.8</v>
      </c>
      <c r="F106" s="4" t="s">
        <v>16</v>
      </c>
      <c r="G106" s="138"/>
      <c r="H106" s="15">
        <f>D106*G106/1000</f>
        <v>0</v>
      </c>
      <c r="I106" s="236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</row>
    <row r="107" spans="1:25" ht="15" x14ac:dyDescent="0.2">
      <c r="A107" s="8" t="s">
        <v>100</v>
      </c>
      <c r="B107" s="96">
        <v>50</v>
      </c>
      <c r="C107" s="113">
        <v>1.36</v>
      </c>
      <c r="D107" s="113">
        <f>B107*C107</f>
        <v>68</v>
      </c>
      <c r="E107" s="39">
        <f>D107*$C$32/1000</f>
        <v>6.8</v>
      </c>
      <c r="F107" s="91" t="s">
        <v>25</v>
      </c>
      <c r="G107" s="15"/>
      <c r="H107" s="15">
        <f>D107*G107/1000</f>
        <v>0</v>
      </c>
      <c r="I107" s="236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</row>
    <row r="108" spans="1:25" ht="15" x14ac:dyDescent="0.2">
      <c r="A108" s="98"/>
      <c r="B108" s="451"/>
      <c r="C108" s="99"/>
      <c r="D108" s="99"/>
      <c r="E108" s="89"/>
      <c r="F108" s="89"/>
      <c r="G108" s="79"/>
      <c r="H108" s="398">
        <f>SUM(H104:H107)</f>
        <v>0</v>
      </c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</row>
    <row r="109" spans="1:25" x14ac:dyDescent="0.2">
      <c r="A109" s="203"/>
      <c r="B109" s="204"/>
      <c r="C109" s="204"/>
      <c r="D109" s="204"/>
      <c r="E109" s="205"/>
      <c r="F109" s="205"/>
      <c r="G109" s="239"/>
      <c r="H109" s="207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</row>
    <row r="110" spans="1:25" x14ac:dyDescent="0.2">
      <c r="A110" s="203"/>
      <c r="B110" s="204"/>
      <c r="C110" s="204"/>
      <c r="D110" s="204"/>
      <c r="E110" s="205"/>
      <c r="F110" s="205"/>
      <c r="G110" s="239"/>
      <c r="H110" s="207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</row>
    <row r="111" spans="1:25" x14ac:dyDescent="0.2">
      <c r="A111" s="603" t="s">
        <v>62</v>
      </c>
      <c r="B111" s="603"/>
      <c r="C111" s="603"/>
      <c r="D111" s="603"/>
      <c r="E111" s="603"/>
      <c r="F111" s="603"/>
      <c r="G111" s="603"/>
      <c r="H111" s="603"/>
      <c r="I111" s="603"/>
      <c r="J111" s="603"/>
      <c r="K111" s="603"/>
      <c r="L111" s="603"/>
      <c r="M111" s="603"/>
      <c r="N111" s="603"/>
      <c r="O111" s="603"/>
      <c r="P111" s="603"/>
      <c r="Q111" s="603"/>
      <c r="R111" s="603"/>
      <c r="S111" s="603"/>
      <c r="T111" s="603"/>
      <c r="U111" s="603"/>
      <c r="V111" s="603"/>
      <c r="W111" s="603"/>
      <c r="X111" s="603"/>
      <c r="Y111" s="603"/>
    </row>
    <row r="112" spans="1:25" ht="13.5" thickBot="1" x14ac:dyDescent="0.25"/>
    <row r="113" spans="1:26" s="222" customFormat="1" ht="13.5" thickBot="1" x14ac:dyDescent="0.25">
      <c r="A113" s="566" t="s">
        <v>218</v>
      </c>
      <c r="B113" s="567"/>
      <c r="C113" s="567"/>
      <c r="D113" s="567"/>
      <c r="E113" s="567"/>
      <c r="F113" s="567"/>
      <c r="G113" s="567"/>
      <c r="H113" s="568"/>
      <c r="I113" s="191"/>
      <c r="J113" s="604" t="s">
        <v>27</v>
      </c>
      <c r="K113" s="605"/>
      <c r="L113" s="605"/>
      <c r="M113" s="605"/>
      <c r="N113" s="605"/>
      <c r="O113" s="605"/>
      <c r="P113" s="605"/>
      <c r="Q113" s="606"/>
      <c r="R113" s="191"/>
      <c r="S113" s="191"/>
      <c r="T113" s="191"/>
      <c r="U113" s="191"/>
      <c r="V113" s="191"/>
      <c r="W113" s="191"/>
      <c r="X113" s="191"/>
      <c r="Y113" s="191"/>
    </row>
    <row r="114" spans="1:26" ht="25.5" x14ac:dyDescent="0.2">
      <c r="A114" s="101" t="s">
        <v>13</v>
      </c>
      <c r="B114" s="102" t="s">
        <v>45</v>
      </c>
      <c r="C114" s="103" t="s">
        <v>107</v>
      </c>
      <c r="D114" s="103" t="s">
        <v>108</v>
      </c>
      <c r="E114" s="569" t="s">
        <v>15</v>
      </c>
      <c r="F114" s="570"/>
      <c r="G114" s="101" t="s">
        <v>0</v>
      </c>
      <c r="H114" s="101" t="s">
        <v>1</v>
      </c>
      <c r="I114" s="191"/>
      <c r="J114" s="59" t="s">
        <v>13</v>
      </c>
      <c r="K114" s="60" t="s">
        <v>45</v>
      </c>
      <c r="L114" s="65" t="s">
        <v>107</v>
      </c>
      <c r="M114" s="65" t="s">
        <v>108</v>
      </c>
      <c r="N114" s="607" t="s">
        <v>15</v>
      </c>
      <c r="O114" s="608"/>
      <c r="P114" s="193" t="s">
        <v>0</v>
      </c>
      <c r="Q114" s="193" t="s">
        <v>1</v>
      </c>
      <c r="R114" s="191"/>
      <c r="S114" s="191"/>
      <c r="T114" s="191"/>
      <c r="U114" s="191"/>
      <c r="V114" s="191"/>
      <c r="W114" s="191"/>
      <c r="X114" s="191"/>
      <c r="Y114" s="191"/>
    </row>
    <row r="115" spans="1:26" ht="15" x14ac:dyDescent="0.2">
      <c r="A115" s="90" t="s">
        <v>63</v>
      </c>
      <c r="B115" s="445">
        <v>25</v>
      </c>
      <c r="C115" s="92">
        <v>1</v>
      </c>
      <c r="D115" s="92">
        <f>B115*C115</f>
        <v>25</v>
      </c>
      <c r="E115" s="39">
        <f>D115*$C$32/1000</f>
        <v>2.5</v>
      </c>
      <c r="F115" s="14" t="s">
        <v>25</v>
      </c>
      <c r="G115" s="106"/>
      <c r="H115" s="15">
        <f>D115*G115/1000</f>
        <v>0</v>
      </c>
      <c r="I115" s="191"/>
      <c r="J115" s="227" t="s">
        <v>27</v>
      </c>
      <c r="K115" s="216">
        <v>60</v>
      </c>
      <c r="L115" s="228">
        <v>1.55</v>
      </c>
      <c r="M115" s="228">
        <f>K115*L115</f>
        <v>93</v>
      </c>
      <c r="N115" s="229">
        <f>K115*$C$32/1000</f>
        <v>6</v>
      </c>
      <c r="O115" s="211" t="s">
        <v>16</v>
      </c>
      <c r="P115" s="240"/>
      <c r="Q115" s="58">
        <f>M115*P115/1000</f>
        <v>0</v>
      </c>
      <c r="R115" s="191"/>
      <c r="S115" s="191"/>
      <c r="T115" s="191"/>
      <c r="U115" s="191"/>
      <c r="V115" s="191"/>
      <c r="W115" s="191"/>
      <c r="X115" s="191"/>
      <c r="Y115" s="191"/>
    </row>
    <row r="116" spans="1:26" ht="15" x14ac:dyDescent="0.2">
      <c r="A116" s="90" t="s">
        <v>106</v>
      </c>
      <c r="B116" s="445">
        <v>25</v>
      </c>
      <c r="C116" s="92">
        <v>1</v>
      </c>
      <c r="D116" s="92">
        <f t="shared" ref="D116:D124" si="10">B116*C116</f>
        <v>25</v>
      </c>
      <c r="E116" s="39">
        <f>D116*$C$32/1000</f>
        <v>2.5</v>
      </c>
      <c r="F116" s="14" t="s">
        <v>25</v>
      </c>
      <c r="G116" s="108"/>
      <c r="H116" s="15">
        <f>D116*G116/1000</f>
        <v>0</v>
      </c>
      <c r="I116" s="191"/>
      <c r="J116" s="237"/>
      <c r="K116" s="202"/>
      <c r="L116" s="202"/>
      <c r="M116" s="202"/>
      <c r="N116" s="241"/>
      <c r="O116" s="202"/>
      <c r="P116" s="242"/>
      <c r="Q116" s="243">
        <f>SUM(Q115)</f>
        <v>0</v>
      </c>
      <c r="R116" s="615"/>
      <c r="S116" s="615"/>
      <c r="T116" s="615"/>
      <c r="U116" s="191"/>
      <c r="V116" s="191"/>
      <c r="W116" s="191"/>
      <c r="X116" s="191"/>
      <c r="Y116" s="191"/>
      <c r="Z116" s="191"/>
    </row>
    <row r="117" spans="1:26" ht="15" x14ac:dyDescent="0.2">
      <c r="A117" s="90" t="s">
        <v>3</v>
      </c>
      <c r="B117" s="445">
        <v>0.5</v>
      </c>
      <c r="C117" s="92">
        <v>1.18</v>
      </c>
      <c r="D117" s="416">
        <f t="shared" si="10"/>
        <v>0.59</v>
      </c>
      <c r="E117" s="39">
        <f>D117*$C$32/1000</f>
        <v>5.8999999999999997E-2</v>
      </c>
      <c r="F117" s="14" t="s">
        <v>25</v>
      </c>
      <c r="G117" s="108"/>
      <c r="H117" s="15">
        <f>D117*G117/1000</f>
        <v>0</v>
      </c>
      <c r="I117" s="191"/>
      <c r="J117" s="191"/>
      <c r="K117" s="191"/>
      <c r="L117" s="191"/>
      <c r="M117" s="191"/>
      <c r="N117" s="191"/>
      <c r="O117" s="191"/>
      <c r="P117" s="191"/>
      <c r="Q117" s="225"/>
      <c r="R117" s="191"/>
      <c r="S117" s="191"/>
      <c r="T117" s="191"/>
      <c r="U117" s="191"/>
      <c r="V117" s="191"/>
      <c r="W117" s="191"/>
      <c r="X117" s="191"/>
      <c r="Y117" s="191"/>
      <c r="Z117" s="191"/>
    </row>
    <row r="118" spans="1:26" ht="15" x14ac:dyDescent="0.2">
      <c r="A118" s="90" t="s">
        <v>12</v>
      </c>
      <c r="B118" s="440">
        <v>0.4</v>
      </c>
      <c r="C118" s="113">
        <v>1.35</v>
      </c>
      <c r="D118" s="92">
        <f t="shared" si="10"/>
        <v>0.54</v>
      </c>
      <c r="E118" s="39">
        <f>D118*$C$32/30</f>
        <v>1.8</v>
      </c>
      <c r="F118" s="14" t="s">
        <v>109</v>
      </c>
      <c r="G118" s="108"/>
      <c r="H118" s="15">
        <f>D118*G118/30</f>
        <v>0</v>
      </c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</row>
    <row r="119" spans="1:26" ht="15" x14ac:dyDescent="0.2">
      <c r="A119" s="90" t="s">
        <v>47</v>
      </c>
      <c r="B119" s="440">
        <v>0.7</v>
      </c>
      <c r="C119" s="113">
        <v>1</v>
      </c>
      <c r="D119" s="92">
        <f t="shared" si="10"/>
        <v>0.7</v>
      </c>
      <c r="E119" s="39">
        <f>D119*$C$32/100</f>
        <v>0.7</v>
      </c>
      <c r="F119" s="14" t="s">
        <v>36</v>
      </c>
      <c r="G119" s="108"/>
      <c r="H119" s="15">
        <f>D119*G119/100</f>
        <v>0</v>
      </c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</row>
    <row r="120" spans="1:26" ht="15" x14ac:dyDescent="0.2">
      <c r="A120" s="90" t="s">
        <v>2</v>
      </c>
      <c r="B120" s="446">
        <v>4</v>
      </c>
      <c r="C120" s="92">
        <v>1.08</v>
      </c>
      <c r="D120" s="92">
        <f t="shared" si="10"/>
        <v>4.32</v>
      </c>
      <c r="E120" s="39">
        <f>D120*$C$32/1000</f>
        <v>0.432</v>
      </c>
      <c r="F120" s="14" t="s">
        <v>25</v>
      </c>
      <c r="G120" s="108"/>
      <c r="H120" s="15">
        <f>D120*G120/1000</f>
        <v>0</v>
      </c>
      <c r="I120" s="191"/>
      <c r="J120" s="609"/>
      <c r="K120" s="609"/>
      <c r="L120" s="609"/>
      <c r="M120" s="609"/>
      <c r="N120" s="609"/>
      <c r="O120" s="609"/>
      <c r="P120" s="609"/>
      <c r="Q120" s="609"/>
      <c r="R120" s="191"/>
      <c r="S120" s="191"/>
      <c r="T120" s="191"/>
      <c r="U120" s="191"/>
      <c r="V120" s="191"/>
      <c r="W120" s="191"/>
      <c r="X120" s="191"/>
      <c r="Y120" s="191"/>
      <c r="Z120" s="191"/>
    </row>
    <row r="121" spans="1:26" ht="15" x14ac:dyDescent="0.2">
      <c r="A121" s="90" t="s">
        <v>127</v>
      </c>
      <c r="B121" s="440">
        <v>2</v>
      </c>
      <c r="C121" s="113">
        <v>1</v>
      </c>
      <c r="D121" s="92">
        <f t="shared" si="10"/>
        <v>2</v>
      </c>
      <c r="E121" s="39">
        <f>D121*$C$32/900</f>
        <v>0.22222222222222221</v>
      </c>
      <c r="F121" s="14" t="s">
        <v>40</v>
      </c>
      <c r="G121" s="108"/>
      <c r="H121" s="15">
        <f>D121*G121/900</f>
        <v>0</v>
      </c>
      <c r="I121" s="191"/>
      <c r="J121" s="76"/>
      <c r="K121" s="76"/>
      <c r="L121" s="76"/>
      <c r="M121" s="76"/>
      <c r="N121" s="76"/>
      <c r="O121" s="76"/>
      <c r="P121" s="76"/>
      <c r="Q121" s="76"/>
      <c r="R121" s="191"/>
      <c r="S121" s="191"/>
      <c r="T121" s="191"/>
      <c r="U121" s="191"/>
      <c r="V121" s="191"/>
      <c r="W121" s="191"/>
      <c r="X121" s="191"/>
      <c r="Y121" s="191"/>
      <c r="Z121" s="191"/>
    </row>
    <row r="122" spans="1:26" ht="15" x14ac:dyDescent="0.2">
      <c r="A122" s="90" t="s">
        <v>10</v>
      </c>
      <c r="B122" s="446">
        <v>8</v>
      </c>
      <c r="C122" s="92">
        <v>1.18</v>
      </c>
      <c r="D122" s="111">
        <f t="shared" si="10"/>
        <v>9.44</v>
      </c>
      <c r="E122" s="39">
        <f>D122*$C$32/1000</f>
        <v>0.94399999999999995</v>
      </c>
      <c r="F122" s="14" t="s">
        <v>25</v>
      </c>
      <c r="G122" s="108"/>
      <c r="H122" s="15">
        <f>D122*G122/1000</f>
        <v>0</v>
      </c>
      <c r="I122" s="191"/>
      <c r="J122" s="76"/>
      <c r="K122" s="76"/>
      <c r="L122" s="76"/>
      <c r="M122" s="76"/>
      <c r="N122" s="76"/>
      <c r="O122" s="76"/>
      <c r="P122" s="76"/>
      <c r="Q122" s="76"/>
      <c r="R122" s="191"/>
      <c r="S122" s="191"/>
      <c r="T122" s="191"/>
      <c r="U122" s="191"/>
      <c r="V122" s="191"/>
      <c r="W122" s="191"/>
      <c r="X122" s="191"/>
      <c r="Y122" s="191"/>
      <c r="Z122" s="191"/>
    </row>
    <row r="123" spans="1:26" ht="15" x14ac:dyDescent="0.2">
      <c r="A123" s="90" t="s">
        <v>33</v>
      </c>
      <c r="B123" s="445">
        <v>2</v>
      </c>
      <c r="C123" s="92">
        <v>1</v>
      </c>
      <c r="D123" s="92">
        <f t="shared" si="10"/>
        <v>2</v>
      </c>
      <c r="E123" s="39">
        <f>D123*$C$32/520</f>
        <v>0.38461538461538464</v>
      </c>
      <c r="F123" s="14" t="s">
        <v>121</v>
      </c>
      <c r="G123" s="108"/>
      <c r="H123" s="15">
        <f>D123*G123/520</f>
        <v>0</v>
      </c>
      <c r="I123" s="191"/>
      <c r="J123" s="76"/>
      <c r="K123" s="76"/>
      <c r="L123" s="76"/>
      <c r="M123" s="76"/>
      <c r="N123" s="76"/>
      <c r="O123" s="76"/>
      <c r="P123" s="76"/>
      <c r="Q123" s="76"/>
      <c r="R123" s="191"/>
      <c r="S123" s="191"/>
      <c r="T123" s="191"/>
      <c r="U123" s="191"/>
      <c r="V123" s="191"/>
      <c r="W123" s="191"/>
      <c r="X123" s="191"/>
      <c r="Y123" s="191"/>
      <c r="Z123" s="191"/>
    </row>
    <row r="124" spans="1:26" ht="15" x14ac:dyDescent="0.2">
      <c r="A124" s="90" t="s">
        <v>5</v>
      </c>
      <c r="B124" s="440">
        <v>1</v>
      </c>
      <c r="C124" s="113">
        <v>1</v>
      </c>
      <c r="D124" s="92">
        <f t="shared" si="10"/>
        <v>1</v>
      </c>
      <c r="E124" s="39">
        <f>D124*$C$32/1000</f>
        <v>0.1</v>
      </c>
      <c r="F124" s="14" t="s">
        <v>25</v>
      </c>
      <c r="G124" s="108"/>
      <c r="H124" s="15">
        <f>D124*G124/1000</f>
        <v>0</v>
      </c>
      <c r="I124" s="191"/>
      <c r="J124" s="76"/>
      <c r="K124" s="76"/>
      <c r="L124" s="76"/>
      <c r="M124" s="76"/>
      <c r="N124" s="76"/>
      <c r="O124" s="76"/>
      <c r="P124" s="76"/>
      <c r="Q124" s="76"/>
      <c r="R124" s="191"/>
      <c r="S124" s="191"/>
      <c r="T124" s="191"/>
      <c r="U124" s="191"/>
      <c r="V124" s="191"/>
      <c r="W124" s="191"/>
      <c r="X124" s="191"/>
      <c r="Y124" s="191"/>
      <c r="Z124" s="191"/>
    </row>
    <row r="125" spans="1:26" ht="15" x14ac:dyDescent="0.2">
      <c r="A125" s="79"/>
      <c r="B125" s="79"/>
      <c r="C125" s="79"/>
      <c r="D125" s="79"/>
      <c r="E125" s="79"/>
      <c r="F125" s="79"/>
      <c r="G125" s="79"/>
      <c r="H125" s="47">
        <f>SUM(H115:H124)</f>
        <v>0</v>
      </c>
      <c r="I125" s="191"/>
      <c r="J125" s="76"/>
      <c r="K125" s="76"/>
      <c r="L125" s="76"/>
      <c r="M125" s="76"/>
      <c r="N125" s="76"/>
      <c r="O125" s="76"/>
      <c r="P125" s="76"/>
      <c r="Q125" s="76"/>
      <c r="R125" s="191"/>
      <c r="S125" s="191"/>
      <c r="T125" s="191"/>
      <c r="U125" s="191"/>
      <c r="V125" s="191"/>
      <c r="W125" s="191"/>
      <c r="X125" s="191"/>
      <c r="Y125" s="191"/>
      <c r="Z125" s="191"/>
    </row>
    <row r="126" spans="1:26" ht="17.25" customHeight="1" x14ac:dyDescent="0.2">
      <c r="H126" s="207"/>
      <c r="I126" s="191"/>
      <c r="J126" s="76"/>
      <c r="K126" s="76"/>
      <c r="L126" s="76"/>
      <c r="M126" s="76"/>
      <c r="N126" s="600" t="s">
        <v>150</v>
      </c>
      <c r="O126" s="601"/>
      <c r="P126" s="548">
        <f>SUM(H108,H125,Q116)</f>
        <v>0</v>
      </c>
      <c r="Q126" s="244"/>
      <c r="R126" s="191"/>
      <c r="S126" s="191"/>
      <c r="T126" s="191"/>
      <c r="U126" s="191"/>
      <c r="V126" s="191"/>
      <c r="W126" s="191"/>
      <c r="X126" s="191"/>
      <c r="Y126" s="191"/>
      <c r="Z126" s="191"/>
    </row>
    <row r="127" spans="1:26" x14ac:dyDescent="0.2">
      <c r="Z127" s="191"/>
    </row>
    <row r="128" spans="1:26" x14ac:dyDescent="0.2">
      <c r="A128" s="602" t="s">
        <v>21</v>
      </c>
      <c r="B128" s="602"/>
      <c r="C128" s="602"/>
      <c r="D128" s="602"/>
      <c r="E128" s="602"/>
      <c r="F128" s="602"/>
      <c r="G128" s="602"/>
      <c r="H128" s="602"/>
      <c r="I128" s="602"/>
      <c r="J128" s="602"/>
      <c r="K128" s="602"/>
      <c r="L128" s="602"/>
      <c r="M128" s="602"/>
      <c r="N128" s="602"/>
      <c r="O128" s="602"/>
      <c r="P128" s="602"/>
      <c r="Q128" s="602"/>
      <c r="R128" s="602"/>
      <c r="S128" s="602"/>
      <c r="T128" s="602"/>
      <c r="U128" s="602"/>
      <c r="V128" s="602"/>
      <c r="W128" s="602"/>
      <c r="X128" s="602"/>
      <c r="Y128" s="602"/>
    </row>
    <row r="129" spans="1:25" x14ac:dyDescent="0.2">
      <c r="A129" s="222"/>
      <c r="B129" s="222"/>
      <c r="C129" s="222"/>
      <c r="D129" s="222"/>
      <c r="E129" s="222"/>
      <c r="F129" s="222"/>
      <c r="G129" s="222"/>
      <c r="H129" s="22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</row>
    <row r="130" spans="1:25" x14ac:dyDescent="0.2">
      <c r="A130" s="603" t="s">
        <v>145</v>
      </c>
      <c r="B130" s="603"/>
      <c r="C130" s="603"/>
      <c r="D130" s="603"/>
      <c r="E130" s="603"/>
      <c r="F130" s="603"/>
      <c r="G130" s="603"/>
      <c r="H130" s="603"/>
      <c r="I130" s="603"/>
      <c r="J130" s="603"/>
      <c r="K130" s="603"/>
      <c r="L130" s="603"/>
      <c r="M130" s="603"/>
      <c r="N130" s="603"/>
      <c r="O130" s="603"/>
      <c r="P130" s="603"/>
      <c r="Q130" s="603"/>
      <c r="R130" s="603"/>
      <c r="S130" s="603"/>
      <c r="T130" s="603"/>
      <c r="U130" s="603"/>
      <c r="V130" s="603"/>
      <c r="W130" s="603"/>
      <c r="X130" s="603"/>
      <c r="Y130" s="603"/>
    </row>
    <row r="131" spans="1:25" ht="13.5" thickBot="1" x14ac:dyDescent="0.25">
      <c r="A131" s="609"/>
      <c r="B131" s="609"/>
      <c r="C131" s="609"/>
      <c r="D131" s="609"/>
      <c r="E131" s="609"/>
      <c r="F131" s="609"/>
      <c r="G131" s="609"/>
      <c r="H131" s="609"/>
      <c r="I131" s="191"/>
      <c r="J131" s="61"/>
      <c r="K131" s="63"/>
      <c r="L131" s="63"/>
      <c r="M131" s="63"/>
      <c r="N131" s="600"/>
      <c r="O131" s="600"/>
      <c r="P131" s="245"/>
      <c r="Q131" s="245"/>
      <c r="R131" s="191"/>
      <c r="S131" s="191"/>
      <c r="T131" s="191"/>
      <c r="U131" s="191"/>
      <c r="V131" s="191"/>
      <c r="W131" s="191"/>
      <c r="X131" s="191"/>
      <c r="Y131" s="191"/>
    </row>
    <row r="132" spans="1:25" ht="13.5" thickBot="1" x14ac:dyDescent="0.25">
      <c r="A132" s="604" t="s">
        <v>151</v>
      </c>
      <c r="B132" s="605"/>
      <c r="C132" s="605"/>
      <c r="D132" s="605"/>
      <c r="E132" s="605"/>
      <c r="F132" s="605"/>
      <c r="G132" s="605"/>
      <c r="H132" s="606"/>
      <c r="I132" s="191"/>
      <c r="J132" s="566" t="s">
        <v>198</v>
      </c>
      <c r="K132" s="567"/>
      <c r="L132" s="567"/>
      <c r="M132" s="567"/>
      <c r="N132" s="567"/>
      <c r="O132" s="567"/>
      <c r="P132" s="567"/>
      <c r="Q132" s="568"/>
      <c r="R132" s="191"/>
      <c r="S132" s="191"/>
      <c r="T132" s="191"/>
      <c r="U132" s="191"/>
      <c r="V132" s="191"/>
      <c r="W132" s="191"/>
      <c r="X132" s="191"/>
      <c r="Y132" s="191"/>
    </row>
    <row r="133" spans="1:25" ht="25.5" x14ac:dyDescent="0.2">
      <c r="A133" s="59" t="s">
        <v>13</v>
      </c>
      <c r="B133" s="60" t="s">
        <v>45</v>
      </c>
      <c r="C133" s="65" t="s">
        <v>107</v>
      </c>
      <c r="D133" s="65" t="s">
        <v>108</v>
      </c>
      <c r="E133" s="607" t="s">
        <v>15</v>
      </c>
      <c r="F133" s="608"/>
      <c r="G133" s="193" t="s">
        <v>0</v>
      </c>
      <c r="H133" s="193" t="s">
        <v>1</v>
      </c>
      <c r="I133" s="191"/>
      <c r="J133" s="101" t="s">
        <v>13</v>
      </c>
      <c r="K133" s="102" t="s">
        <v>45</v>
      </c>
      <c r="L133" s="103" t="s">
        <v>107</v>
      </c>
      <c r="M133" s="103" t="s">
        <v>108</v>
      </c>
      <c r="N133" s="569" t="s">
        <v>15</v>
      </c>
      <c r="O133" s="570"/>
      <c r="P133" s="101" t="s">
        <v>0</v>
      </c>
      <c r="Q133" s="101" t="s">
        <v>1</v>
      </c>
      <c r="R133" s="191"/>
      <c r="S133" s="191"/>
      <c r="T133" s="191"/>
      <c r="U133" s="191"/>
      <c r="V133" s="191"/>
      <c r="W133" s="191"/>
      <c r="X133" s="191"/>
      <c r="Y133" s="191"/>
    </row>
    <row r="134" spans="1:25" ht="15" x14ac:dyDescent="0.2">
      <c r="A134" s="227" t="s">
        <v>48</v>
      </c>
      <c r="B134" s="216">
        <v>150</v>
      </c>
      <c r="C134" s="228">
        <v>1</v>
      </c>
      <c r="D134" s="228">
        <f>B134*C134</f>
        <v>150</v>
      </c>
      <c r="E134" s="229">
        <f>B134*$C$32/1000</f>
        <v>15</v>
      </c>
      <c r="F134" s="211" t="s">
        <v>37</v>
      </c>
      <c r="G134" s="240"/>
      <c r="H134" s="58">
        <f>D134*G134/1000</f>
        <v>0</v>
      </c>
      <c r="I134" s="191"/>
      <c r="J134" s="428" t="s">
        <v>213</v>
      </c>
      <c r="K134" s="91">
        <v>15</v>
      </c>
      <c r="L134" s="92">
        <v>1</v>
      </c>
      <c r="M134" s="92">
        <f>K134*L134</f>
        <v>15</v>
      </c>
      <c r="N134" s="39">
        <f>M134*$C$32/400</f>
        <v>3.75</v>
      </c>
      <c r="O134" s="14" t="s">
        <v>152</v>
      </c>
      <c r="P134" s="106"/>
      <c r="Q134" s="95">
        <f>M134*P134/400</f>
        <v>0</v>
      </c>
      <c r="R134" s="191"/>
      <c r="S134" s="191"/>
      <c r="T134" s="191"/>
      <c r="U134" s="191"/>
      <c r="V134" s="191"/>
      <c r="W134" s="191"/>
      <c r="X134" s="191"/>
      <c r="Y134" s="191"/>
    </row>
    <row r="135" spans="1:25" ht="15" x14ac:dyDescent="0.2">
      <c r="A135" s="237"/>
      <c r="B135" s="202"/>
      <c r="C135" s="202"/>
      <c r="D135" s="202"/>
      <c r="E135" s="241"/>
      <c r="F135" s="202"/>
      <c r="G135" s="242"/>
      <c r="H135" s="243">
        <f>SUM(H134)</f>
        <v>0</v>
      </c>
      <c r="I135" s="191"/>
      <c r="J135" s="126"/>
      <c r="K135" s="118"/>
      <c r="L135" s="118"/>
      <c r="M135" s="118"/>
      <c r="N135" s="154"/>
      <c r="O135" s="118"/>
      <c r="P135" s="132"/>
      <c r="Q135" s="47">
        <f>SUM(Q134)</f>
        <v>0</v>
      </c>
      <c r="R135" s="191"/>
      <c r="S135" s="191"/>
      <c r="T135" s="191"/>
      <c r="U135" s="191"/>
      <c r="V135" s="191"/>
      <c r="W135" s="191"/>
      <c r="X135" s="191"/>
      <c r="Y135" s="191"/>
    </row>
    <row r="136" spans="1:25" x14ac:dyDescent="0.2">
      <c r="A136" s="237"/>
      <c r="B136" s="202"/>
      <c r="C136" s="202"/>
      <c r="D136" s="202"/>
      <c r="E136" s="246"/>
      <c r="F136" s="202"/>
      <c r="G136" s="242"/>
      <c r="H136" s="247"/>
      <c r="I136" s="191"/>
      <c r="J136" s="192"/>
      <c r="K136" s="202"/>
      <c r="L136" s="202"/>
      <c r="M136" s="202"/>
      <c r="N136" s="246"/>
      <c r="O136" s="202"/>
      <c r="P136" s="70"/>
      <c r="Q136" s="43"/>
      <c r="R136" s="191"/>
      <c r="S136" s="191"/>
      <c r="T136" s="191"/>
      <c r="U136" s="191"/>
      <c r="V136" s="191"/>
      <c r="W136" s="191"/>
      <c r="X136" s="191"/>
      <c r="Y136" s="191"/>
    </row>
    <row r="137" spans="1:25" x14ac:dyDescent="0.2">
      <c r="A137" s="237"/>
      <c r="B137" s="208"/>
      <c r="C137" s="208"/>
      <c r="D137" s="208"/>
      <c r="E137" s="208"/>
      <c r="F137" s="208"/>
      <c r="G137" s="248"/>
      <c r="H137" s="207"/>
      <c r="I137" s="192"/>
      <c r="J137" s="191"/>
      <c r="K137" s="191"/>
      <c r="L137" s="191"/>
      <c r="M137" s="191"/>
      <c r="N137" s="191"/>
      <c r="O137" s="191"/>
      <c r="P137" s="191"/>
      <c r="Q137" s="40"/>
      <c r="R137" s="192"/>
      <c r="S137" s="192"/>
      <c r="T137" s="192"/>
      <c r="U137" s="192"/>
      <c r="V137" s="192"/>
      <c r="W137" s="192"/>
      <c r="X137" s="192"/>
      <c r="Y137" s="192"/>
    </row>
    <row r="138" spans="1:25" x14ac:dyDescent="0.2">
      <c r="A138" s="237"/>
      <c r="B138" s="208"/>
      <c r="C138" s="208"/>
      <c r="D138" s="208"/>
      <c r="E138" s="208"/>
      <c r="F138" s="208"/>
      <c r="G138" s="248"/>
      <c r="H138" s="249"/>
      <c r="I138" s="192"/>
      <c r="J138" s="191"/>
      <c r="K138" s="191"/>
      <c r="L138" s="191"/>
      <c r="M138" s="191"/>
      <c r="N138" s="191"/>
      <c r="O138" s="191"/>
      <c r="P138" s="191"/>
      <c r="Q138" s="40"/>
      <c r="R138" s="192"/>
      <c r="S138" s="192"/>
      <c r="T138" s="192"/>
      <c r="U138" s="192"/>
      <c r="V138" s="192"/>
      <c r="W138" s="192"/>
      <c r="X138" s="192"/>
      <c r="Y138" s="192"/>
    </row>
    <row r="139" spans="1:25" x14ac:dyDescent="0.2">
      <c r="A139" s="191"/>
      <c r="B139" s="191"/>
      <c r="C139" s="191"/>
      <c r="D139" s="191"/>
      <c r="E139" s="191"/>
      <c r="F139" s="191"/>
      <c r="G139" s="191"/>
      <c r="H139" s="250"/>
      <c r="I139" s="192"/>
      <c r="R139" s="192"/>
      <c r="S139" s="192"/>
      <c r="T139" s="192"/>
      <c r="U139" s="192"/>
      <c r="V139" s="192"/>
      <c r="W139" s="192"/>
      <c r="X139" s="192"/>
      <c r="Y139" s="192"/>
    </row>
    <row r="140" spans="1:25" x14ac:dyDescent="0.2">
      <c r="A140" s="603" t="s">
        <v>62</v>
      </c>
      <c r="B140" s="603"/>
      <c r="C140" s="603"/>
      <c r="D140" s="603"/>
      <c r="E140" s="603"/>
      <c r="F140" s="603"/>
      <c r="G140" s="603"/>
      <c r="H140" s="603"/>
      <c r="I140" s="603"/>
      <c r="J140" s="603"/>
      <c r="K140" s="603"/>
      <c r="L140" s="603"/>
      <c r="M140" s="603"/>
      <c r="N140" s="603"/>
      <c r="O140" s="603"/>
      <c r="P140" s="603"/>
      <c r="Q140" s="603"/>
      <c r="R140" s="603"/>
      <c r="S140" s="603"/>
      <c r="T140" s="603"/>
      <c r="U140" s="603"/>
      <c r="V140" s="603"/>
      <c r="W140" s="603"/>
      <c r="X140" s="603"/>
      <c r="Y140" s="603"/>
    </row>
    <row r="141" spans="1:25" ht="13.5" thickBot="1" x14ac:dyDescent="0.25">
      <c r="A141" s="222"/>
      <c r="B141" s="222"/>
      <c r="C141" s="222"/>
      <c r="D141" s="222"/>
      <c r="E141" s="222"/>
      <c r="F141" s="222"/>
      <c r="G141" s="222"/>
      <c r="H141" s="222"/>
      <c r="I141" s="76"/>
      <c r="J141" s="192"/>
      <c r="K141" s="192"/>
      <c r="L141" s="192"/>
      <c r="M141" s="192"/>
      <c r="N141" s="192"/>
      <c r="O141" s="192"/>
      <c r="P141" s="192"/>
      <c r="Q141" s="192"/>
      <c r="R141" s="209"/>
      <c r="S141" s="209"/>
      <c r="T141" s="209"/>
      <c r="U141" s="209"/>
      <c r="V141" s="209"/>
      <c r="W141" s="209"/>
      <c r="X141" s="209"/>
      <c r="Y141" s="191"/>
    </row>
    <row r="142" spans="1:25" ht="13.5" thickBot="1" x14ac:dyDescent="0.25">
      <c r="A142" s="566" t="s">
        <v>115</v>
      </c>
      <c r="B142" s="567"/>
      <c r="C142" s="567"/>
      <c r="D142" s="567"/>
      <c r="E142" s="567"/>
      <c r="F142" s="567"/>
      <c r="G142" s="567"/>
      <c r="H142" s="568"/>
      <c r="I142" s="76"/>
      <c r="J142" s="209"/>
      <c r="K142" s="209"/>
      <c r="L142" s="209"/>
      <c r="M142" s="209"/>
      <c r="N142" s="209"/>
      <c r="O142" s="209"/>
      <c r="P142" s="209"/>
      <c r="Q142" s="209"/>
      <c r="R142" s="208"/>
      <c r="S142" s="208"/>
      <c r="T142" s="208"/>
      <c r="U142" s="208"/>
      <c r="V142" s="208"/>
      <c r="W142" s="208"/>
      <c r="X142" s="208"/>
      <c r="Y142" s="191"/>
    </row>
    <row r="143" spans="1:25" ht="25.5" x14ac:dyDescent="0.2">
      <c r="A143" s="101" t="s">
        <v>13</v>
      </c>
      <c r="B143" s="102" t="s">
        <v>45</v>
      </c>
      <c r="C143" s="102" t="s">
        <v>107</v>
      </c>
      <c r="D143" s="102" t="s">
        <v>108</v>
      </c>
      <c r="E143" s="578" t="s">
        <v>15</v>
      </c>
      <c r="F143" s="578"/>
      <c r="G143" s="101" t="s">
        <v>0</v>
      </c>
      <c r="H143" s="101" t="s">
        <v>1</v>
      </c>
      <c r="I143" s="76"/>
      <c r="J143" s="208"/>
      <c r="K143" s="208"/>
      <c r="L143" s="208"/>
      <c r="M143" s="208"/>
      <c r="N143" s="208"/>
      <c r="O143" s="208"/>
      <c r="P143" s="208"/>
      <c r="Q143" s="208"/>
      <c r="R143" s="587"/>
      <c r="S143" s="614"/>
      <c r="T143" s="614"/>
      <c r="U143" s="614"/>
      <c r="V143" s="614"/>
      <c r="W143" s="614"/>
      <c r="X143" s="614"/>
      <c r="Y143" s="191"/>
    </row>
    <row r="144" spans="1:25" ht="15" x14ac:dyDescent="0.2">
      <c r="A144" s="104" t="s">
        <v>41</v>
      </c>
      <c r="B144" s="440">
        <v>15</v>
      </c>
      <c r="C144" s="113">
        <v>1</v>
      </c>
      <c r="D144" s="113">
        <f>B144*C144</f>
        <v>15</v>
      </c>
      <c r="E144" s="39">
        <f>D144*$C$32/1000</f>
        <v>1.5</v>
      </c>
      <c r="F144" s="91" t="s">
        <v>25</v>
      </c>
      <c r="G144" s="106"/>
      <c r="H144" s="15">
        <f>D144*G144/1000</f>
        <v>0</v>
      </c>
      <c r="I144" s="76"/>
      <c r="J144" s="77"/>
      <c r="K144" s="77"/>
      <c r="L144" s="77"/>
      <c r="M144" s="77"/>
      <c r="N144" s="77"/>
      <c r="O144" s="77"/>
      <c r="P144" s="77"/>
      <c r="Q144" s="77"/>
      <c r="R144" s="587"/>
      <c r="S144" s="77"/>
      <c r="T144" s="77"/>
      <c r="U144" s="77"/>
      <c r="V144" s="77"/>
      <c r="W144" s="77"/>
      <c r="X144" s="77"/>
      <c r="Y144" s="191"/>
    </row>
    <row r="145" spans="1:25" ht="15" x14ac:dyDescent="0.2">
      <c r="A145" s="90" t="s">
        <v>68</v>
      </c>
      <c r="B145" s="445">
        <v>20</v>
      </c>
      <c r="C145" s="92">
        <v>1</v>
      </c>
      <c r="D145" s="113">
        <f t="shared" ref="D145:D157" si="11">B145*C145</f>
        <v>20</v>
      </c>
      <c r="E145" s="39">
        <f>D145*$C$32/500</f>
        <v>4</v>
      </c>
      <c r="F145" s="14" t="s">
        <v>35</v>
      </c>
      <c r="G145" s="108"/>
      <c r="H145" s="15">
        <f>D145*G145/500</f>
        <v>0</v>
      </c>
      <c r="I145" s="191"/>
      <c r="J145" s="587"/>
      <c r="K145" s="77"/>
      <c r="L145" s="77"/>
      <c r="M145" s="77"/>
      <c r="N145" s="71"/>
      <c r="O145" s="71"/>
      <c r="P145" s="71"/>
      <c r="Q145" s="71"/>
      <c r="R145" s="71"/>
      <c r="S145" s="71"/>
      <c r="T145" s="71"/>
      <c r="U145" s="71"/>
      <c r="V145" s="73"/>
      <c r="W145" s="73"/>
      <c r="X145" s="73"/>
      <c r="Y145" s="191"/>
    </row>
    <row r="146" spans="1:25" ht="15" x14ac:dyDescent="0.2">
      <c r="A146" s="90" t="s">
        <v>65</v>
      </c>
      <c r="B146" s="447">
        <v>20</v>
      </c>
      <c r="C146" s="92">
        <v>1.21</v>
      </c>
      <c r="D146" s="113">
        <f t="shared" si="11"/>
        <v>24.2</v>
      </c>
      <c r="E146" s="39">
        <f t="shared" ref="E146:E153" si="12">D146*$C$32/1000</f>
        <v>2.42</v>
      </c>
      <c r="F146" s="14" t="s">
        <v>25</v>
      </c>
      <c r="G146" s="108"/>
      <c r="H146" s="15">
        <f t="shared" ref="H146:H157" si="13">D146*G146/1000</f>
        <v>0</v>
      </c>
      <c r="I146" s="191"/>
      <c r="J146" s="587"/>
      <c r="K146" s="77"/>
      <c r="L146" s="77"/>
      <c r="M146" s="77"/>
      <c r="N146" s="71"/>
      <c r="O146" s="71"/>
      <c r="P146" s="71"/>
      <c r="Q146" s="71"/>
      <c r="R146" s="71"/>
      <c r="S146" s="71"/>
      <c r="T146" s="71"/>
      <c r="U146" s="71"/>
      <c r="V146" s="73"/>
      <c r="W146" s="73"/>
      <c r="X146" s="73"/>
      <c r="Y146" s="191"/>
    </row>
    <row r="147" spans="1:25" ht="15" x14ac:dyDescent="0.2">
      <c r="A147" s="8" t="s">
        <v>52</v>
      </c>
      <c r="B147" s="440">
        <v>15</v>
      </c>
      <c r="C147" s="113">
        <v>1.1599999999999999</v>
      </c>
      <c r="D147" s="105">
        <f t="shared" si="11"/>
        <v>17.399999999999999</v>
      </c>
      <c r="E147" s="39">
        <f t="shared" si="12"/>
        <v>1.7399999999999998</v>
      </c>
      <c r="F147" s="57" t="s">
        <v>16</v>
      </c>
      <c r="G147" s="419"/>
      <c r="H147" s="15">
        <f t="shared" si="13"/>
        <v>0</v>
      </c>
      <c r="I147" s="191"/>
      <c r="J147" s="77"/>
      <c r="K147" s="77"/>
      <c r="L147" s="77"/>
      <c r="M147" s="77"/>
      <c r="N147" s="71"/>
      <c r="O147" s="71"/>
      <c r="P147" s="71"/>
      <c r="Q147" s="71"/>
      <c r="R147" s="214"/>
      <c r="S147" s="214"/>
      <c r="T147" s="214"/>
      <c r="U147" s="214"/>
      <c r="V147" s="214"/>
      <c r="W147" s="214"/>
      <c r="X147" s="214"/>
      <c r="Y147" s="191"/>
    </row>
    <row r="148" spans="1:25" ht="15" x14ac:dyDescent="0.2">
      <c r="A148" s="90" t="s">
        <v>7</v>
      </c>
      <c r="B148" s="440">
        <v>15</v>
      </c>
      <c r="C148" s="113">
        <v>1.18</v>
      </c>
      <c r="D148" s="105">
        <f t="shared" si="11"/>
        <v>17.7</v>
      </c>
      <c r="E148" s="39">
        <f t="shared" si="12"/>
        <v>1.77</v>
      </c>
      <c r="F148" s="14" t="s">
        <v>25</v>
      </c>
      <c r="G148" s="108"/>
      <c r="H148" s="15">
        <f t="shared" si="13"/>
        <v>0</v>
      </c>
      <c r="I148" s="191"/>
      <c r="J148" s="616"/>
      <c r="K148" s="616"/>
      <c r="L148" s="214"/>
      <c r="M148" s="214"/>
      <c r="N148" s="214"/>
      <c r="O148" s="214"/>
      <c r="P148" s="214"/>
      <c r="Q148" s="214"/>
      <c r="R148" s="71"/>
      <c r="S148" s="71"/>
      <c r="T148" s="71"/>
      <c r="U148" s="71"/>
      <c r="V148" s="71"/>
      <c r="W148" s="71"/>
      <c r="X148" s="71"/>
      <c r="Y148" s="191"/>
    </row>
    <row r="149" spans="1:25" ht="15" x14ac:dyDescent="0.2">
      <c r="A149" s="90" t="s">
        <v>8</v>
      </c>
      <c r="B149" s="445">
        <v>15</v>
      </c>
      <c r="C149" s="92">
        <v>1.46</v>
      </c>
      <c r="D149" s="105">
        <f t="shared" si="11"/>
        <v>21.9</v>
      </c>
      <c r="E149" s="39">
        <f t="shared" si="12"/>
        <v>2.19</v>
      </c>
      <c r="F149" s="14" t="s">
        <v>25</v>
      </c>
      <c r="G149" s="108"/>
      <c r="H149" s="15">
        <f t="shared" si="13"/>
        <v>0</v>
      </c>
      <c r="I149" s="191"/>
      <c r="J149" s="614"/>
      <c r="K149" s="614"/>
      <c r="L149" s="208"/>
      <c r="M149" s="208"/>
      <c r="N149" s="71"/>
      <c r="O149" s="71"/>
      <c r="P149" s="71"/>
      <c r="Q149" s="71"/>
      <c r="R149" s="215"/>
      <c r="S149" s="215"/>
      <c r="T149" s="215"/>
      <c r="U149" s="215"/>
      <c r="V149" s="215"/>
      <c r="W149" s="215"/>
      <c r="X149" s="215"/>
      <c r="Y149" s="191"/>
    </row>
    <row r="150" spans="1:25" ht="15" x14ac:dyDescent="0.2">
      <c r="A150" s="90" t="s">
        <v>10</v>
      </c>
      <c r="B150" s="450">
        <v>8</v>
      </c>
      <c r="C150" s="113">
        <v>1.18</v>
      </c>
      <c r="D150" s="105">
        <f t="shared" si="11"/>
        <v>9.44</v>
      </c>
      <c r="E150" s="39">
        <f t="shared" si="12"/>
        <v>0.94399999999999995</v>
      </c>
      <c r="F150" s="14" t="s">
        <v>25</v>
      </c>
      <c r="G150" s="108"/>
      <c r="H150" s="15">
        <f t="shared" si="13"/>
        <v>0</v>
      </c>
      <c r="I150" s="191"/>
      <c r="J150" s="217"/>
      <c r="K150" s="217"/>
      <c r="L150" s="217"/>
      <c r="M150" s="217"/>
      <c r="N150" s="215"/>
      <c r="O150" s="215"/>
      <c r="P150" s="215"/>
      <c r="Q150" s="215"/>
      <c r="R150" s="191"/>
      <c r="S150" s="191"/>
      <c r="T150" s="191"/>
      <c r="U150" s="191"/>
      <c r="V150" s="191"/>
      <c r="W150" s="191"/>
      <c r="X150" s="191"/>
      <c r="Y150" s="191"/>
    </row>
    <row r="151" spans="1:25" ht="15" x14ac:dyDescent="0.2">
      <c r="A151" s="90" t="s">
        <v>9</v>
      </c>
      <c r="B151" s="445">
        <v>1</v>
      </c>
      <c r="C151" s="92">
        <v>1.43</v>
      </c>
      <c r="D151" s="105">
        <f t="shared" si="11"/>
        <v>1.43</v>
      </c>
      <c r="E151" s="39">
        <f t="shared" si="12"/>
        <v>0.14299999999999999</v>
      </c>
      <c r="F151" s="14" t="s">
        <v>25</v>
      </c>
      <c r="G151" s="108"/>
      <c r="H151" s="15">
        <f t="shared" si="13"/>
        <v>0</v>
      </c>
      <c r="I151" s="191"/>
      <c r="J151" s="191"/>
      <c r="K151" s="251"/>
      <c r="L151" s="251"/>
      <c r="M151" s="251"/>
      <c r="N151" s="251"/>
      <c r="O151" s="251"/>
      <c r="P151" s="251"/>
      <c r="Q151" s="225"/>
      <c r="R151" s="191"/>
      <c r="S151" s="191"/>
      <c r="T151" s="191"/>
      <c r="U151" s="191"/>
      <c r="V151" s="191"/>
      <c r="W151" s="191"/>
      <c r="X151" s="191"/>
      <c r="Y151" s="191"/>
    </row>
    <row r="152" spans="1:25" ht="15" x14ac:dyDescent="0.2">
      <c r="A152" s="90" t="s">
        <v>2</v>
      </c>
      <c r="B152" s="446">
        <v>4</v>
      </c>
      <c r="C152" s="92">
        <v>1.08</v>
      </c>
      <c r="D152" s="112">
        <f t="shared" si="11"/>
        <v>4.32</v>
      </c>
      <c r="E152" s="39">
        <f t="shared" si="12"/>
        <v>0.432</v>
      </c>
      <c r="F152" s="14" t="s">
        <v>25</v>
      </c>
      <c r="G152" s="108"/>
      <c r="H152" s="15">
        <f t="shared" si="13"/>
        <v>0</v>
      </c>
      <c r="I152" s="191"/>
      <c r="J152" s="191"/>
      <c r="K152" s="610"/>
      <c r="L152" s="610"/>
      <c r="M152" s="610"/>
      <c r="N152" s="610"/>
      <c r="O152" s="252"/>
      <c r="P152" s="251"/>
      <c r="Q152" s="191"/>
      <c r="R152" s="191"/>
      <c r="S152" s="191"/>
      <c r="T152" s="191"/>
      <c r="U152" s="191"/>
      <c r="V152" s="191"/>
      <c r="W152" s="191"/>
      <c r="X152" s="191"/>
      <c r="Y152" s="191"/>
    </row>
    <row r="153" spans="1:25" ht="15" x14ac:dyDescent="0.2">
      <c r="A153" s="90" t="s">
        <v>3</v>
      </c>
      <c r="B153" s="445">
        <v>0.5</v>
      </c>
      <c r="C153" s="92">
        <v>1.18</v>
      </c>
      <c r="D153" s="112">
        <f t="shared" si="11"/>
        <v>0.59</v>
      </c>
      <c r="E153" s="39">
        <f t="shared" si="12"/>
        <v>5.8999999999999997E-2</v>
      </c>
      <c r="F153" s="14" t="s">
        <v>25</v>
      </c>
      <c r="G153" s="108"/>
      <c r="H153" s="15">
        <f t="shared" si="13"/>
        <v>0</v>
      </c>
      <c r="I153" s="191"/>
      <c r="J153" s="191"/>
      <c r="K153" s="251"/>
      <c r="L153" s="251"/>
      <c r="M153" s="251"/>
      <c r="N153" s="25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</row>
    <row r="154" spans="1:25" ht="15" x14ac:dyDescent="0.2">
      <c r="A154" s="104" t="s">
        <v>12</v>
      </c>
      <c r="B154" s="440">
        <v>0.4</v>
      </c>
      <c r="C154" s="113">
        <v>1.35</v>
      </c>
      <c r="D154" s="112">
        <f t="shared" si="11"/>
        <v>0.54</v>
      </c>
      <c r="E154" s="39">
        <f>D154*$C$32/30</f>
        <v>1.8</v>
      </c>
      <c r="F154" s="91" t="s">
        <v>109</v>
      </c>
      <c r="G154" s="108"/>
      <c r="H154" s="15">
        <f>D154*G154/30</f>
        <v>0</v>
      </c>
      <c r="I154" s="191"/>
      <c r="J154" s="191"/>
      <c r="K154" s="191"/>
      <c r="L154" s="191"/>
      <c r="M154" s="191"/>
      <c r="N154" s="191"/>
      <c r="O154" s="191"/>
      <c r="P154" s="612"/>
      <c r="Q154" s="612"/>
      <c r="R154" s="615"/>
      <c r="S154" s="615"/>
      <c r="T154" s="615"/>
      <c r="U154" s="191"/>
      <c r="V154" s="191"/>
      <c r="W154" s="191"/>
      <c r="X154" s="191"/>
      <c r="Y154" s="191"/>
    </row>
    <row r="155" spans="1:25" ht="15" x14ac:dyDescent="0.2">
      <c r="A155" s="90" t="s">
        <v>6</v>
      </c>
      <c r="B155" s="440">
        <v>0.7</v>
      </c>
      <c r="C155" s="113">
        <v>1</v>
      </c>
      <c r="D155" s="113">
        <f t="shared" si="11"/>
        <v>0.7</v>
      </c>
      <c r="E155" s="39">
        <f>D155*$C$32/100</f>
        <v>0.7</v>
      </c>
      <c r="F155" s="14" t="s">
        <v>36</v>
      </c>
      <c r="G155" s="108"/>
      <c r="H155" s="15">
        <f>D155*G155/100</f>
        <v>0</v>
      </c>
      <c r="I155" s="191"/>
      <c r="J155" s="191"/>
      <c r="K155" s="191"/>
      <c r="L155" s="191"/>
      <c r="M155" s="191"/>
      <c r="N155" s="191"/>
      <c r="O155" s="191"/>
      <c r="P155" s="612"/>
      <c r="Q155" s="612"/>
      <c r="R155" s="191"/>
      <c r="S155" s="191"/>
      <c r="T155" s="191"/>
      <c r="U155" s="191"/>
      <c r="V155" s="191"/>
      <c r="W155" s="191"/>
      <c r="X155" s="191"/>
      <c r="Y155" s="191"/>
    </row>
    <row r="156" spans="1:25" ht="15" x14ac:dyDescent="0.2">
      <c r="A156" s="90" t="s">
        <v>127</v>
      </c>
      <c r="B156" s="440">
        <v>2</v>
      </c>
      <c r="C156" s="113">
        <v>1</v>
      </c>
      <c r="D156" s="113">
        <f t="shared" si="11"/>
        <v>2</v>
      </c>
      <c r="E156" s="39">
        <f>D156*$C$32/900</f>
        <v>0.22222222222222221</v>
      </c>
      <c r="F156" s="14" t="s">
        <v>40</v>
      </c>
      <c r="G156" s="108"/>
      <c r="H156" s="15">
        <f>D156*G156/900</f>
        <v>0</v>
      </c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</row>
    <row r="157" spans="1:25" ht="15" x14ac:dyDescent="0.2">
      <c r="A157" s="90" t="s">
        <v>5</v>
      </c>
      <c r="B157" s="440">
        <v>0.5</v>
      </c>
      <c r="C157" s="113">
        <v>1</v>
      </c>
      <c r="D157" s="113">
        <f t="shared" si="11"/>
        <v>0.5</v>
      </c>
      <c r="E157" s="39">
        <f>D157*$C$32/1000</f>
        <v>0.05</v>
      </c>
      <c r="F157" s="14" t="s">
        <v>25</v>
      </c>
      <c r="G157" s="108"/>
      <c r="H157" s="15">
        <f t="shared" si="13"/>
        <v>0</v>
      </c>
      <c r="I157" s="218"/>
      <c r="J157" s="191"/>
      <c r="K157" s="191"/>
      <c r="L157" s="191"/>
      <c r="M157" s="191"/>
      <c r="N157" s="191"/>
      <c r="O157" s="191"/>
      <c r="P157" s="191"/>
      <c r="Q157" s="191"/>
      <c r="R157" s="218"/>
      <c r="S157" s="218"/>
      <c r="T157" s="218"/>
      <c r="U157" s="218"/>
      <c r="V157" s="218"/>
      <c r="W157" s="218"/>
      <c r="X157" s="218"/>
      <c r="Y157" s="218"/>
    </row>
    <row r="158" spans="1:25" ht="15" x14ac:dyDescent="0.2">
      <c r="A158" s="409"/>
      <c r="B158" s="118"/>
      <c r="C158" s="118"/>
      <c r="D158" s="118"/>
      <c r="E158" s="410"/>
      <c r="F158" s="118"/>
      <c r="G158" s="79"/>
      <c r="H158" s="47">
        <f>SUM(H144:H157)</f>
        <v>0</v>
      </c>
      <c r="I158" s="218"/>
      <c r="J158" s="191"/>
      <c r="K158" s="191"/>
      <c r="L158" s="191"/>
      <c r="M158" s="191"/>
      <c r="N158" s="609" t="s">
        <v>153</v>
      </c>
      <c r="O158" s="617"/>
      <c r="P158" s="253">
        <f>H135+Q135+H158</f>
        <v>0</v>
      </c>
      <c r="Q158" s="191"/>
      <c r="R158" s="218"/>
      <c r="S158" s="218"/>
      <c r="T158" s="218"/>
      <c r="U158" s="218"/>
      <c r="V158" s="218"/>
      <c r="W158" s="218"/>
      <c r="X158" s="218"/>
      <c r="Y158" s="218"/>
    </row>
    <row r="159" spans="1:25" x14ac:dyDescent="0.2">
      <c r="A159" s="237"/>
      <c r="B159" s="208"/>
      <c r="C159" s="208"/>
      <c r="D159" s="208"/>
      <c r="E159" s="254"/>
      <c r="F159" s="208"/>
      <c r="G159" s="222"/>
      <c r="H159" s="225"/>
      <c r="I159" s="66"/>
      <c r="J159" s="209"/>
      <c r="K159" s="209"/>
      <c r="L159" s="209"/>
      <c r="M159" s="209"/>
      <c r="N159" s="209"/>
      <c r="O159" s="209"/>
      <c r="P159" s="209"/>
      <c r="Q159" s="209"/>
      <c r="R159" s="208"/>
      <c r="S159" s="191"/>
    </row>
    <row r="160" spans="1:25" x14ac:dyDescent="0.2">
      <c r="A160" s="602" t="s">
        <v>22</v>
      </c>
      <c r="B160" s="602"/>
      <c r="C160" s="602"/>
      <c r="D160" s="602"/>
      <c r="E160" s="602"/>
      <c r="F160" s="602"/>
      <c r="G160" s="602"/>
      <c r="H160" s="602"/>
      <c r="I160" s="602"/>
      <c r="J160" s="602"/>
      <c r="K160" s="602"/>
      <c r="L160" s="602"/>
      <c r="M160" s="602"/>
      <c r="N160" s="602"/>
      <c r="O160" s="602"/>
      <c r="P160" s="602"/>
      <c r="Q160" s="602"/>
      <c r="R160" s="602"/>
      <c r="S160" s="602"/>
      <c r="T160" s="602"/>
      <c r="U160" s="602"/>
      <c r="V160" s="602"/>
      <c r="W160" s="602"/>
      <c r="X160" s="209"/>
    </row>
    <row r="161" spans="1:26" x14ac:dyDescent="0.2">
      <c r="A161" s="218"/>
      <c r="B161" s="218"/>
      <c r="C161" s="218"/>
      <c r="D161" s="218"/>
      <c r="E161" s="218"/>
      <c r="F161" s="218"/>
      <c r="G161" s="218"/>
      <c r="H161" s="218"/>
      <c r="I161" s="202"/>
      <c r="O161" s="76"/>
      <c r="P161" s="255"/>
      <c r="R161" s="64"/>
      <c r="S161" s="208"/>
      <c r="T161" s="208"/>
      <c r="U161" s="208"/>
      <c r="V161" s="208"/>
      <c r="W161" s="208"/>
      <c r="X161" s="208"/>
    </row>
    <row r="162" spans="1:26" x14ac:dyDescent="0.2">
      <c r="A162" s="603" t="s">
        <v>145</v>
      </c>
      <c r="B162" s="603"/>
      <c r="C162" s="603"/>
      <c r="D162" s="603"/>
      <c r="E162" s="603"/>
      <c r="F162" s="603"/>
      <c r="G162" s="603"/>
      <c r="H162" s="603"/>
      <c r="I162" s="603"/>
      <c r="J162" s="603"/>
      <c r="K162" s="603"/>
      <c r="L162" s="603"/>
      <c r="M162" s="603"/>
      <c r="N162" s="603"/>
      <c r="O162" s="603"/>
      <c r="P162" s="603"/>
      <c r="Q162" s="603"/>
      <c r="R162" s="603"/>
      <c r="S162" s="603"/>
      <c r="T162" s="603"/>
      <c r="U162" s="603"/>
      <c r="V162" s="603"/>
      <c r="W162" s="603"/>
      <c r="X162" s="603"/>
    </row>
    <row r="163" spans="1:26" ht="13.5" thickBot="1" x14ac:dyDescent="0.25">
      <c r="B163" s="236"/>
      <c r="C163" s="236"/>
      <c r="D163" s="236"/>
      <c r="E163" s="236"/>
      <c r="F163" s="236"/>
      <c r="H163" s="191"/>
      <c r="I163" s="218"/>
      <c r="J163" s="218"/>
      <c r="K163" s="218"/>
      <c r="L163" s="218"/>
      <c r="M163" s="218"/>
      <c r="N163" s="218"/>
      <c r="O163" s="218"/>
      <c r="P163" s="218"/>
      <c r="Q163" s="218"/>
      <c r="R163" s="71"/>
      <c r="S163" s="77"/>
      <c r="T163" s="77"/>
      <c r="U163" s="77"/>
      <c r="V163" s="77"/>
      <c r="W163" s="77"/>
      <c r="X163" s="77"/>
      <c r="Y163" s="222"/>
    </row>
    <row r="164" spans="1:26" ht="13.5" thickBot="1" x14ac:dyDescent="0.25">
      <c r="A164" s="566" t="s">
        <v>77</v>
      </c>
      <c r="B164" s="567"/>
      <c r="C164" s="567"/>
      <c r="D164" s="567"/>
      <c r="E164" s="567"/>
      <c r="F164" s="567"/>
      <c r="G164" s="567"/>
      <c r="H164" s="568"/>
      <c r="I164" s="100"/>
      <c r="J164" s="566" t="s">
        <v>214</v>
      </c>
      <c r="K164" s="567"/>
      <c r="L164" s="567"/>
      <c r="M164" s="567"/>
      <c r="N164" s="567"/>
      <c r="O164" s="567"/>
      <c r="P164" s="567"/>
      <c r="Q164" s="568"/>
      <c r="R164" s="218"/>
      <c r="S164" s="218"/>
      <c r="T164" s="218"/>
      <c r="U164" s="218"/>
      <c r="V164" s="218"/>
      <c r="W164" s="218"/>
      <c r="X164" s="218"/>
      <c r="Y164" s="222"/>
    </row>
    <row r="165" spans="1:26" ht="30" customHeight="1" x14ac:dyDescent="0.2">
      <c r="A165" s="101" t="s">
        <v>13</v>
      </c>
      <c r="B165" s="102" t="s">
        <v>45</v>
      </c>
      <c r="C165" s="102" t="s">
        <v>107</v>
      </c>
      <c r="D165" s="102" t="s">
        <v>108</v>
      </c>
      <c r="E165" s="578" t="s">
        <v>15</v>
      </c>
      <c r="F165" s="578"/>
      <c r="G165" s="101" t="s">
        <v>0</v>
      </c>
      <c r="H165" s="101" t="s">
        <v>1</v>
      </c>
      <c r="I165" s="100"/>
      <c r="J165" s="101" t="s">
        <v>13</v>
      </c>
      <c r="K165" s="102" t="s">
        <v>45</v>
      </c>
      <c r="L165" s="103" t="s">
        <v>107</v>
      </c>
      <c r="M165" s="103" t="s">
        <v>108</v>
      </c>
      <c r="N165" s="569" t="s">
        <v>15</v>
      </c>
      <c r="O165" s="570"/>
      <c r="P165" s="101" t="s">
        <v>0</v>
      </c>
      <c r="Q165" s="101" t="s">
        <v>1</v>
      </c>
      <c r="R165" s="214"/>
      <c r="S165" s="71"/>
      <c r="T165" s="71"/>
      <c r="U165" s="71"/>
      <c r="V165" s="73"/>
      <c r="W165" s="73"/>
      <c r="X165" s="73"/>
      <c r="Y165" s="222"/>
    </row>
    <row r="166" spans="1:26" ht="26.25" customHeight="1" x14ac:dyDescent="0.2">
      <c r="A166" s="8" t="s">
        <v>75</v>
      </c>
      <c r="B166" s="91">
        <v>8</v>
      </c>
      <c r="C166" s="92">
        <v>1</v>
      </c>
      <c r="D166" s="92">
        <f>B166*C166</f>
        <v>8</v>
      </c>
      <c r="E166" s="39">
        <f>D166*$C$26/400</f>
        <v>0</v>
      </c>
      <c r="F166" s="14" t="s">
        <v>38</v>
      </c>
      <c r="G166" s="108"/>
      <c r="H166" s="108">
        <f>D166*G166/400</f>
        <v>0</v>
      </c>
      <c r="I166" s="100"/>
      <c r="J166" s="428" t="s">
        <v>214</v>
      </c>
      <c r="K166" s="91">
        <v>21</v>
      </c>
      <c r="L166" s="92">
        <v>1</v>
      </c>
      <c r="M166" s="92">
        <f>K166*L166</f>
        <v>21</v>
      </c>
      <c r="N166" s="39">
        <f>M166*$C$26/400</f>
        <v>0</v>
      </c>
      <c r="O166" s="14" t="s">
        <v>152</v>
      </c>
      <c r="P166" s="106"/>
      <c r="Q166" s="546">
        <f>M166*P166/400</f>
        <v>0</v>
      </c>
      <c r="R166" s="192"/>
      <c r="S166" s="192"/>
      <c r="T166" s="192"/>
      <c r="U166" s="192"/>
      <c r="V166" s="192"/>
      <c r="W166" s="192"/>
      <c r="X166" s="192"/>
      <c r="Y166" s="222"/>
    </row>
    <row r="167" spans="1:26" s="222" customFormat="1" ht="14.25" customHeight="1" x14ac:dyDescent="0.2">
      <c r="A167" s="8" t="s">
        <v>26</v>
      </c>
      <c r="B167" s="91">
        <v>15</v>
      </c>
      <c r="C167" s="92">
        <v>1</v>
      </c>
      <c r="D167" s="92">
        <f>B167*C167</f>
        <v>15</v>
      </c>
      <c r="E167" s="39">
        <f>D167*$C$26/400</f>
        <v>0</v>
      </c>
      <c r="F167" s="14" t="s">
        <v>38</v>
      </c>
      <c r="G167" s="108"/>
      <c r="H167" s="108">
        <f t="shared" ref="H167" si="14">D167*G167/400</f>
        <v>0</v>
      </c>
      <c r="I167" s="165"/>
      <c r="J167" s="126"/>
      <c r="K167" s="118"/>
      <c r="L167" s="118"/>
      <c r="M167" s="118"/>
      <c r="N167" s="154"/>
      <c r="O167" s="118"/>
      <c r="P167" s="132"/>
      <c r="Q167" s="47">
        <f>SUM(Q166)</f>
        <v>0</v>
      </c>
      <c r="R167" s="215"/>
      <c r="S167" s="214"/>
      <c r="T167" s="214"/>
      <c r="U167" s="214"/>
      <c r="V167" s="214"/>
      <c r="W167" s="214"/>
      <c r="X167" s="214"/>
    </row>
    <row r="168" spans="1:26" s="222" customFormat="1" ht="14.25" customHeight="1" x14ac:dyDescent="0.2">
      <c r="A168" s="8" t="s">
        <v>28</v>
      </c>
      <c r="B168" s="91">
        <v>5</v>
      </c>
      <c r="C168" s="92">
        <v>1</v>
      </c>
      <c r="D168" s="92">
        <f>B168*C168</f>
        <v>5</v>
      </c>
      <c r="E168" s="39">
        <f>D168*$C$26/1000</f>
        <v>0</v>
      </c>
      <c r="F168" s="14" t="s">
        <v>25</v>
      </c>
      <c r="G168" s="108"/>
      <c r="H168" s="108">
        <f>D168*G168/1000</f>
        <v>0</v>
      </c>
      <c r="I168" s="165"/>
      <c r="J168" s="79"/>
      <c r="K168" s="79"/>
      <c r="L168" s="79"/>
      <c r="M168" s="79"/>
      <c r="N168" s="79"/>
      <c r="O168" s="79"/>
      <c r="P168" s="79"/>
      <c r="Q168" s="79"/>
      <c r="R168" s="215"/>
      <c r="S168" s="536"/>
      <c r="T168" s="536"/>
      <c r="U168" s="536"/>
      <c r="V168" s="536"/>
      <c r="W168" s="536"/>
      <c r="X168" s="536"/>
    </row>
    <row r="169" spans="1:26" s="222" customFormat="1" ht="14.25" customHeight="1" x14ac:dyDescent="0.2">
      <c r="A169" s="85"/>
      <c r="B169" s="85"/>
      <c r="C169" s="85"/>
      <c r="D169" s="85"/>
      <c r="E169" s="85"/>
      <c r="F169" s="85"/>
      <c r="G169" s="85"/>
      <c r="H169" s="47">
        <f>SUM(H166:H168)</f>
        <v>0</v>
      </c>
      <c r="I169" s="85"/>
      <c r="J169" s="124"/>
      <c r="K169" s="124"/>
      <c r="L169" s="124"/>
      <c r="M169" s="124"/>
      <c r="N169" s="124"/>
      <c r="O169" s="124"/>
      <c r="P169" s="124"/>
      <c r="Q169" s="124"/>
      <c r="R169" s="215"/>
      <c r="S169" s="536"/>
      <c r="T169" s="536"/>
      <c r="U169" s="536"/>
      <c r="V169" s="536"/>
      <c r="W169" s="536"/>
      <c r="X169" s="536"/>
    </row>
    <row r="170" spans="1:26" s="222" customFormat="1" ht="17.25" customHeight="1" x14ac:dyDescent="0.2">
      <c r="A170" s="189"/>
      <c r="B170" s="189"/>
      <c r="C170" s="189"/>
      <c r="D170" s="189"/>
      <c r="E170" s="189"/>
      <c r="F170" s="189"/>
      <c r="G170" s="189"/>
      <c r="H170" s="189"/>
      <c r="I170" s="218"/>
      <c r="J170" s="191"/>
      <c r="K170" s="191"/>
      <c r="L170" s="191"/>
      <c r="M170" s="191"/>
      <c r="N170" s="191"/>
      <c r="O170" s="191"/>
      <c r="P170" s="191"/>
      <c r="Q170" s="191"/>
      <c r="R170" s="191"/>
      <c r="S170" s="215"/>
      <c r="T170" s="215"/>
      <c r="U170" s="215"/>
      <c r="V170" s="215"/>
      <c r="W170" s="215"/>
      <c r="X170" s="215"/>
      <c r="Y170" s="218"/>
    </row>
    <row r="171" spans="1:26" s="222" customFormat="1" ht="18" customHeight="1" x14ac:dyDescent="0.2">
      <c r="A171" s="603" t="s">
        <v>62</v>
      </c>
      <c r="B171" s="603"/>
      <c r="C171" s="603"/>
      <c r="D171" s="603"/>
      <c r="E171" s="603"/>
      <c r="F171" s="603"/>
      <c r="G171" s="603"/>
      <c r="H171" s="603"/>
      <c r="I171" s="603"/>
      <c r="J171" s="603"/>
      <c r="K171" s="603"/>
      <c r="L171" s="603"/>
      <c r="M171" s="603"/>
      <c r="N171" s="603"/>
      <c r="O171" s="603"/>
      <c r="P171" s="603"/>
      <c r="Q171" s="603"/>
      <c r="R171" s="603"/>
      <c r="S171" s="603"/>
      <c r="T171" s="603"/>
      <c r="U171" s="603"/>
      <c r="V171" s="603"/>
      <c r="W171" s="603"/>
      <c r="X171" s="191"/>
      <c r="Y171" s="192"/>
    </row>
    <row r="172" spans="1:26" s="222" customFormat="1" ht="15.75" customHeight="1" thickBot="1" x14ac:dyDescent="0.25">
      <c r="A172" s="192"/>
      <c r="B172" s="192"/>
      <c r="C172" s="192"/>
      <c r="D172" s="192"/>
      <c r="E172" s="192"/>
      <c r="F172" s="192"/>
      <c r="G172" s="192"/>
      <c r="H172" s="192"/>
      <c r="I172" s="192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192"/>
    </row>
    <row r="173" spans="1:26" s="222" customFormat="1" ht="15.75" customHeight="1" thickBot="1" x14ac:dyDescent="0.25">
      <c r="A173" s="604" t="s">
        <v>101</v>
      </c>
      <c r="B173" s="605"/>
      <c r="C173" s="605"/>
      <c r="D173" s="605"/>
      <c r="E173" s="605"/>
      <c r="F173" s="605"/>
      <c r="G173" s="605"/>
      <c r="H173" s="606"/>
      <c r="I173" s="192"/>
      <c r="J173" s="604" t="s">
        <v>154</v>
      </c>
      <c r="K173" s="605"/>
      <c r="L173" s="605"/>
      <c r="M173" s="605"/>
      <c r="N173" s="605"/>
      <c r="O173" s="605"/>
      <c r="P173" s="605"/>
      <c r="Q173" s="606"/>
      <c r="R173" s="192"/>
      <c r="S173" s="218"/>
      <c r="T173" s="218"/>
      <c r="U173" s="218"/>
      <c r="V173" s="218"/>
      <c r="W173" s="218"/>
      <c r="X173" s="218"/>
    </row>
    <row r="174" spans="1:26" ht="27.75" customHeight="1" x14ac:dyDescent="0.2">
      <c r="A174" s="59" t="s">
        <v>13</v>
      </c>
      <c r="B174" s="60" t="s">
        <v>45</v>
      </c>
      <c r="C174" s="65" t="s">
        <v>107</v>
      </c>
      <c r="D174" s="65" t="s">
        <v>108</v>
      </c>
      <c r="E174" s="607" t="s">
        <v>15</v>
      </c>
      <c r="F174" s="608"/>
      <c r="G174" s="193" t="s">
        <v>0</v>
      </c>
      <c r="H174" s="193" t="s">
        <v>1</v>
      </c>
      <c r="I174" s="192"/>
      <c r="J174" s="59" t="s">
        <v>13</v>
      </c>
      <c r="K174" s="60" t="s">
        <v>45</v>
      </c>
      <c r="L174" s="65" t="s">
        <v>107</v>
      </c>
      <c r="M174" s="65" t="s">
        <v>108</v>
      </c>
      <c r="N174" s="618" t="s">
        <v>15</v>
      </c>
      <c r="O174" s="618"/>
      <c r="P174" s="193" t="s">
        <v>0</v>
      </c>
      <c r="Q174" s="193" t="s">
        <v>1</v>
      </c>
      <c r="R174" s="192"/>
      <c r="S174" s="192"/>
      <c r="T174" s="192"/>
      <c r="U174" s="192"/>
      <c r="V174" s="192"/>
      <c r="W174" s="192"/>
      <c r="X174" s="192"/>
      <c r="Y174" s="222"/>
    </row>
    <row r="175" spans="1:26" x14ac:dyDescent="0.2">
      <c r="A175" s="227" t="s">
        <v>55</v>
      </c>
      <c r="B175" s="216">
        <v>35</v>
      </c>
      <c r="C175" s="228">
        <v>1</v>
      </c>
      <c r="D175" s="228">
        <f>B175*C175</f>
        <v>35</v>
      </c>
      <c r="E175" s="199">
        <f>B175*$C$32/500</f>
        <v>7</v>
      </c>
      <c r="F175" s="211" t="s">
        <v>56</v>
      </c>
      <c r="G175" s="256"/>
      <c r="H175" s="58">
        <f>D175*G175/500</f>
        <v>0</v>
      </c>
      <c r="I175" s="192"/>
      <c r="J175" s="210" t="s">
        <v>29</v>
      </c>
      <c r="K175" s="216">
        <v>40</v>
      </c>
      <c r="L175" s="228">
        <v>1</v>
      </c>
      <c r="M175" s="228">
        <f>K175*L175</f>
        <v>40</v>
      </c>
      <c r="N175" s="199">
        <f>K175*$C$32/1000</f>
        <v>4</v>
      </c>
      <c r="O175" s="211" t="s">
        <v>25</v>
      </c>
      <c r="P175" s="201"/>
      <c r="Q175" s="201">
        <f>M175*P175/1000</f>
        <v>0</v>
      </c>
      <c r="R175" s="192"/>
      <c r="S175" s="192"/>
      <c r="T175" s="192"/>
      <c r="U175" s="192"/>
      <c r="V175" s="192"/>
      <c r="W175" s="192"/>
      <c r="X175" s="192"/>
    </row>
    <row r="176" spans="1:26" x14ac:dyDescent="0.2">
      <c r="A176" s="227" t="s">
        <v>57</v>
      </c>
      <c r="B176" s="197">
        <v>0.5</v>
      </c>
      <c r="C176" s="198">
        <v>1</v>
      </c>
      <c r="D176" s="228">
        <f t="shared" ref="D176:D178" si="15">B176*C176</f>
        <v>0.5</v>
      </c>
      <c r="E176" s="199">
        <f>B176*$C$32/1000</f>
        <v>0.05</v>
      </c>
      <c r="F176" s="211" t="s">
        <v>25</v>
      </c>
      <c r="G176" s="256"/>
      <c r="H176" s="58">
        <f t="shared" ref="H176" si="16">D176*G176/1000</f>
        <v>0</v>
      </c>
      <c r="I176" s="222"/>
      <c r="J176" s="210" t="s">
        <v>28</v>
      </c>
      <c r="K176" s="216">
        <v>15</v>
      </c>
      <c r="L176" s="228">
        <v>1</v>
      </c>
      <c r="M176" s="228">
        <f>K176*L176</f>
        <v>15</v>
      </c>
      <c r="N176" s="199">
        <f>K176*$C$32/1000</f>
        <v>1.5</v>
      </c>
      <c r="O176" s="211" t="s">
        <v>25</v>
      </c>
      <c r="P176" s="212"/>
      <c r="Q176" s="201">
        <f>M176*P176/1000</f>
        <v>0</v>
      </c>
      <c r="R176" s="222"/>
      <c r="S176" s="222"/>
      <c r="T176" s="222"/>
      <c r="U176" s="222"/>
      <c r="V176" s="222"/>
      <c r="W176" s="222"/>
      <c r="X176" s="222"/>
      <c r="Y176" s="222"/>
      <c r="Z176" s="222"/>
    </row>
    <row r="177" spans="1:26" ht="15" customHeight="1" x14ac:dyDescent="0.2">
      <c r="A177" s="227" t="s">
        <v>54</v>
      </c>
      <c r="B177" s="216">
        <v>2</v>
      </c>
      <c r="C177" s="228">
        <v>1</v>
      </c>
      <c r="D177" s="228">
        <f t="shared" si="15"/>
        <v>2</v>
      </c>
      <c r="E177" s="199">
        <f>B177*$C$32/500</f>
        <v>0.4</v>
      </c>
      <c r="F177" s="211" t="s">
        <v>56</v>
      </c>
      <c r="G177" s="256"/>
      <c r="H177" s="58">
        <f>D177*G177/500</f>
        <v>0</v>
      </c>
      <c r="I177" s="192"/>
      <c r="Q177" s="206">
        <f>SUM(Q175:Q176)</f>
        <v>0</v>
      </c>
      <c r="R177" s="222"/>
      <c r="S177" s="222"/>
      <c r="T177" s="222"/>
      <c r="U177" s="222"/>
      <c r="V177" s="222"/>
      <c r="W177" s="222"/>
      <c r="X177" s="222"/>
      <c r="Y177" s="222"/>
      <c r="Z177" s="222"/>
    </row>
    <row r="178" spans="1:26" ht="15" customHeight="1" x14ac:dyDescent="0.2">
      <c r="A178" s="62" t="s">
        <v>58</v>
      </c>
      <c r="B178" s="197">
        <v>25</v>
      </c>
      <c r="C178" s="198">
        <v>1.1299999999999999</v>
      </c>
      <c r="D178" s="228">
        <f t="shared" si="15"/>
        <v>28.249999999999996</v>
      </c>
      <c r="E178" s="199">
        <f>B178*$C$32/1500</f>
        <v>1.6666666666666667</v>
      </c>
      <c r="F178" s="211" t="s">
        <v>155</v>
      </c>
      <c r="G178" s="200"/>
      <c r="H178" s="58">
        <f>D178*G178/1500</f>
        <v>0</v>
      </c>
      <c r="I178" s="192"/>
      <c r="J178" s="192"/>
      <c r="K178" s="192"/>
      <c r="L178" s="192"/>
      <c r="M178" s="192"/>
      <c r="N178" s="192"/>
      <c r="O178" s="192"/>
      <c r="P178" s="192"/>
      <c r="Q178" s="491"/>
      <c r="R178" s="192"/>
      <c r="S178" s="192"/>
      <c r="T178" s="192"/>
      <c r="U178" s="192"/>
      <c r="V178" s="192"/>
      <c r="W178" s="192"/>
      <c r="X178" s="192"/>
      <c r="Y178" s="222"/>
      <c r="Z178" s="222"/>
    </row>
    <row r="179" spans="1:26" x14ac:dyDescent="0.2">
      <c r="H179" s="9">
        <f>SUM(H175:H178)</f>
        <v>0</v>
      </c>
    </row>
    <row r="180" spans="1:26" s="191" customFormat="1" x14ac:dyDescent="0.2"/>
    <row r="181" spans="1:26" s="191" customFormat="1" ht="20.25" customHeight="1" x14ac:dyDescent="0.2">
      <c r="I181" s="76"/>
      <c r="N181" s="600" t="s">
        <v>156</v>
      </c>
      <c r="O181" s="601"/>
      <c r="P181" s="257">
        <f>H167+H179+Q177+Q167</f>
        <v>0</v>
      </c>
      <c r="Y181" s="76"/>
    </row>
    <row r="182" spans="1:26" s="191" customFormat="1" x14ac:dyDescent="0.2">
      <c r="I182" s="76"/>
      <c r="O182" s="620"/>
      <c r="P182" s="620"/>
      <c r="Q182" s="258"/>
      <c r="R182" s="76"/>
      <c r="Y182" s="76"/>
    </row>
    <row r="183" spans="1:26" s="191" customFormat="1" x14ac:dyDescent="0.2">
      <c r="I183" s="76"/>
      <c r="R183" s="76"/>
      <c r="S183" s="76"/>
      <c r="T183" s="76"/>
      <c r="U183" s="76"/>
      <c r="V183" s="76"/>
      <c r="W183" s="76"/>
      <c r="X183" s="76"/>
      <c r="Y183" s="76"/>
    </row>
    <row r="184" spans="1:26" s="191" customFormat="1" ht="18" x14ac:dyDescent="0.25">
      <c r="I184" s="237"/>
      <c r="J184" s="76"/>
      <c r="K184" s="76"/>
      <c r="L184" s="76"/>
      <c r="M184" s="76"/>
      <c r="N184" s="621" t="s">
        <v>219</v>
      </c>
      <c r="O184" s="621"/>
      <c r="P184" s="259">
        <f>SUM(P66,P95,P126,P158,P181)/5</f>
        <v>0</v>
      </c>
      <c r="Q184" s="76"/>
      <c r="R184" s="76"/>
      <c r="S184" s="76"/>
      <c r="T184" s="76"/>
      <c r="U184" s="76"/>
      <c r="V184" s="76"/>
      <c r="W184" s="76"/>
      <c r="X184" s="76"/>
    </row>
    <row r="185" spans="1:26" s="191" customFormat="1" x14ac:dyDescent="0.2">
      <c r="I185" s="237"/>
      <c r="S185" s="76"/>
      <c r="T185" s="76"/>
      <c r="U185" s="76"/>
      <c r="V185" s="76"/>
      <c r="W185" s="76"/>
      <c r="X185" s="76"/>
    </row>
    <row r="186" spans="1:26" s="191" customFormat="1" x14ac:dyDescent="0.2">
      <c r="B186" s="209"/>
      <c r="C186" s="209"/>
      <c r="D186" s="209"/>
      <c r="E186" s="209"/>
      <c r="F186" s="209"/>
      <c r="G186" s="209"/>
      <c r="H186" s="209"/>
      <c r="I186" s="237"/>
      <c r="R186" s="219"/>
      <c r="S186" s="76"/>
      <c r="T186" s="76"/>
      <c r="U186" s="76"/>
      <c r="V186" s="76"/>
      <c r="W186" s="76"/>
      <c r="X186" s="76"/>
    </row>
    <row r="187" spans="1:26" s="191" customFormat="1" x14ac:dyDescent="0.2">
      <c r="B187" s="208"/>
      <c r="C187" s="208"/>
      <c r="D187" s="208"/>
      <c r="E187" s="208"/>
      <c r="F187" s="208"/>
      <c r="G187" s="208"/>
      <c r="H187" s="208"/>
      <c r="I187" s="237"/>
    </row>
    <row r="188" spans="1:26" s="191" customFormat="1" x14ac:dyDescent="0.2">
      <c r="A188" s="237"/>
      <c r="B188" s="587"/>
      <c r="C188" s="77"/>
      <c r="D188" s="77"/>
      <c r="E188" s="587"/>
      <c r="F188" s="587"/>
      <c r="G188" s="587"/>
      <c r="H188" s="587"/>
      <c r="I188" s="76"/>
      <c r="K188" s="619"/>
      <c r="L188" s="619"/>
      <c r="M188" s="619"/>
      <c r="N188" s="619"/>
      <c r="O188" s="260"/>
      <c r="P188" s="237"/>
      <c r="Q188" s="237"/>
    </row>
    <row r="189" spans="1:26" s="191" customFormat="1" x14ac:dyDescent="0.2">
      <c r="B189" s="587"/>
      <c r="C189" s="77"/>
      <c r="D189" s="77"/>
      <c r="E189" s="587"/>
      <c r="F189" s="587"/>
      <c r="G189" s="587"/>
      <c r="H189" s="587"/>
      <c r="J189" s="619"/>
      <c r="K189" s="619"/>
      <c r="L189" s="261"/>
      <c r="M189" s="261"/>
      <c r="N189" s="262"/>
      <c r="O189" s="614"/>
      <c r="P189" s="614"/>
      <c r="Q189" s="258"/>
    </row>
    <row r="190" spans="1:26" s="191" customFormat="1" x14ac:dyDescent="0.2">
      <c r="B190" s="587"/>
      <c r="C190" s="77"/>
      <c r="D190" s="77"/>
      <c r="E190" s="77"/>
      <c r="F190" s="71"/>
      <c r="G190" s="71"/>
      <c r="H190" s="71"/>
      <c r="O190" s="237"/>
      <c r="P190" s="237"/>
      <c r="Q190" s="237"/>
    </row>
    <row r="191" spans="1:26" x14ac:dyDescent="0.2">
      <c r="A191" s="191"/>
      <c r="B191" s="587"/>
      <c r="C191" s="77"/>
      <c r="D191" s="77"/>
      <c r="E191" s="77"/>
      <c r="F191" s="71"/>
      <c r="G191" s="71"/>
      <c r="H191" s="71"/>
      <c r="J191" s="619"/>
      <c r="K191" s="619"/>
      <c r="L191" s="261"/>
      <c r="M191" s="261"/>
      <c r="N191" s="262"/>
      <c r="O191" s="237"/>
      <c r="P191" s="237"/>
      <c r="Q191" s="237"/>
    </row>
    <row r="195" s="191" customFormat="1" x14ac:dyDescent="0.2"/>
    <row r="196" s="191" customFormat="1" x14ac:dyDescent="0.2"/>
    <row r="197" s="191" customFormat="1" x14ac:dyDescent="0.2"/>
    <row r="198" s="191" customFormat="1" x14ac:dyDescent="0.2"/>
    <row r="199" s="191" customFormat="1" x14ac:dyDescent="0.2"/>
    <row r="200" s="191" customFormat="1" x14ac:dyDescent="0.2"/>
    <row r="201" s="191" customFormat="1" x14ac:dyDescent="0.2"/>
    <row r="202" s="191" customFormat="1" x14ac:dyDescent="0.2"/>
    <row r="203" s="191" customFormat="1" x14ac:dyDescent="0.2"/>
    <row r="204" s="191" customFormat="1" x14ac:dyDescent="0.2"/>
    <row r="205" s="191" customFormat="1" x14ac:dyDescent="0.2"/>
    <row r="206" s="191" customFormat="1" x14ac:dyDescent="0.2"/>
  </sheetData>
  <mergeCells count="89">
    <mergeCell ref="O189:P189"/>
    <mergeCell ref="B190:B191"/>
    <mergeCell ref="J191:K191"/>
    <mergeCell ref="N181:O181"/>
    <mergeCell ref="O182:P182"/>
    <mergeCell ref="N184:O184"/>
    <mergeCell ref="B188:B189"/>
    <mergeCell ref="E188:E189"/>
    <mergeCell ref="F188:F189"/>
    <mergeCell ref="G188:G189"/>
    <mergeCell ref="H188:H189"/>
    <mergeCell ref="K188:N188"/>
    <mergeCell ref="J189:K189"/>
    <mergeCell ref="A171:W171"/>
    <mergeCell ref="A173:H173"/>
    <mergeCell ref="J173:Q173"/>
    <mergeCell ref="E174:F174"/>
    <mergeCell ref="N174:O174"/>
    <mergeCell ref="E165:F165"/>
    <mergeCell ref="J145:J146"/>
    <mergeCell ref="J148:K148"/>
    <mergeCell ref="J149:K149"/>
    <mergeCell ref="K152:N152"/>
    <mergeCell ref="J164:Q164"/>
    <mergeCell ref="N165:O165"/>
    <mergeCell ref="P155:Q155"/>
    <mergeCell ref="N158:O158"/>
    <mergeCell ref="A160:W160"/>
    <mergeCell ref="A162:X162"/>
    <mergeCell ref="A164:H164"/>
    <mergeCell ref="A111:Y111"/>
    <mergeCell ref="P154:Q154"/>
    <mergeCell ref="R154:T154"/>
    <mergeCell ref="E133:F133"/>
    <mergeCell ref="N133:O133"/>
    <mergeCell ref="A140:Y140"/>
    <mergeCell ref="A142:H142"/>
    <mergeCell ref="E143:F143"/>
    <mergeCell ref="R143:R144"/>
    <mergeCell ref="S143:T143"/>
    <mergeCell ref="U143:X143"/>
    <mergeCell ref="N64:O64"/>
    <mergeCell ref="A102:H102"/>
    <mergeCell ref="E103:F103"/>
    <mergeCell ref="A132:H132"/>
    <mergeCell ref="J132:Q132"/>
    <mergeCell ref="A113:H113"/>
    <mergeCell ref="J113:Q113"/>
    <mergeCell ref="E114:F114"/>
    <mergeCell ref="N114:O114"/>
    <mergeCell ref="N126:O126"/>
    <mergeCell ref="A128:Y128"/>
    <mergeCell ref="A130:Y130"/>
    <mergeCell ref="A131:H131"/>
    <mergeCell ref="N131:O131"/>
    <mergeCell ref="R116:T116"/>
    <mergeCell ref="J120:Q120"/>
    <mergeCell ref="A41:H41"/>
    <mergeCell ref="K41:R41"/>
    <mergeCell ref="A98:Y98"/>
    <mergeCell ref="A100:Y100"/>
    <mergeCell ref="O65:P65"/>
    <mergeCell ref="J45:K45"/>
    <mergeCell ref="A50:Y50"/>
    <mergeCell ref="A52:H52"/>
    <mergeCell ref="E53:F53"/>
    <mergeCell ref="S55:S56"/>
    <mergeCell ref="T55:U55"/>
    <mergeCell ref="N94:O94"/>
    <mergeCell ref="A81:H81"/>
    <mergeCell ref="E82:F82"/>
    <mergeCell ref="K52:R52"/>
    <mergeCell ref="O53:P53"/>
    <mergeCell ref="O42:P42"/>
    <mergeCell ref="E42:F42"/>
    <mergeCell ref="A21:O21"/>
    <mergeCell ref="N95:O95"/>
    <mergeCell ref="N66:O66"/>
    <mergeCell ref="A68:Y68"/>
    <mergeCell ref="A70:Y70"/>
    <mergeCell ref="A72:H72"/>
    <mergeCell ref="E73:F73"/>
    <mergeCell ref="A79:X79"/>
    <mergeCell ref="J81:Q81"/>
    <mergeCell ref="J82:Q82"/>
    <mergeCell ref="N83:O83"/>
    <mergeCell ref="P25:R25"/>
    <mergeCell ref="A38:X38"/>
    <mergeCell ref="A40:X40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0"/>
  <sheetViews>
    <sheetView topLeftCell="A166" zoomScaleNormal="100" workbookViewId="0">
      <selection activeCell="G282" sqref="G282:G294"/>
    </sheetView>
  </sheetViews>
  <sheetFormatPr defaultRowHeight="15" x14ac:dyDescent="0.25"/>
  <cols>
    <col min="1" max="1" width="21.85546875" customWidth="1"/>
    <col min="5" max="5" width="10.28515625" customWidth="1"/>
    <col min="6" max="6" width="10.140625" customWidth="1"/>
    <col min="7" max="7" width="10.42578125" customWidth="1"/>
    <col min="8" max="8" width="10" customWidth="1"/>
    <col min="9" max="9" width="4.5703125" customWidth="1"/>
    <col min="10" max="10" width="15.42578125" bestFit="1" customWidth="1"/>
    <col min="11" max="11" width="11.140625" customWidth="1"/>
    <col min="12" max="12" width="8.5703125" customWidth="1"/>
    <col min="13" max="13" width="8.42578125" customWidth="1"/>
    <col min="14" max="14" width="11.28515625" bestFit="1" customWidth="1"/>
    <col min="15" max="15" width="11.28515625" customWidth="1"/>
    <col min="16" max="16" width="10.85546875" customWidth="1"/>
    <col min="17" max="17" width="10.7109375" customWidth="1"/>
    <col min="18" max="18" width="4.7109375" customWidth="1"/>
    <col min="19" max="19" width="13.140625" bestFit="1" customWidth="1"/>
    <col min="20" max="20" width="13.42578125" customWidth="1"/>
    <col min="21" max="22" width="8.5703125" customWidth="1"/>
    <col min="24" max="24" width="7.7109375" customWidth="1"/>
    <col min="25" max="25" width="11.140625" customWidth="1"/>
  </cols>
  <sheetData>
    <row r="1" spans="1:15" ht="28.5" x14ac:dyDescent="0.25">
      <c r="A1" s="636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</row>
    <row r="25" spans="16:19" ht="20.25" x14ac:dyDescent="0.3">
      <c r="P25" s="634"/>
      <c r="Q25" s="634"/>
      <c r="R25" s="634"/>
      <c r="S25" s="294"/>
    </row>
    <row r="31" spans="16:19" x14ac:dyDescent="0.25">
      <c r="P31" s="295" t="s">
        <v>79</v>
      </c>
      <c r="Q31" s="296">
        <v>10</v>
      </c>
    </row>
    <row r="34" spans="1:27" ht="25.5" x14ac:dyDescent="0.35">
      <c r="A34" s="630" t="s">
        <v>23</v>
      </c>
      <c r="B34" s="630"/>
      <c r="C34" s="630"/>
      <c r="D34" s="630"/>
      <c r="E34" s="630"/>
      <c r="F34" s="630"/>
      <c r="G34" s="630"/>
      <c r="H34" s="630"/>
      <c r="I34" s="630"/>
      <c r="J34" s="630"/>
      <c r="K34" s="630"/>
      <c r="L34" s="630"/>
      <c r="M34" s="630"/>
      <c r="N34" s="630"/>
      <c r="O34" s="630"/>
      <c r="P34" s="630"/>
      <c r="Q34" s="630"/>
      <c r="R34" s="630"/>
      <c r="S34" s="630"/>
      <c r="T34" s="630"/>
      <c r="U34" s="630"/>
      <c r="V34" s="630"/>
      <c r="W34" s="630"/>
      <c r="X34" s="630"/>
      <c r="Y34" s="630"/>
      <c r="Z34" s="630"/>
      <c r="AA34" s="630"/>
    </row>
    <row r="35" spans="1:27" x14ac:dyDescent="0.25">
      <c r="A35" s="297"/>
      <c r="B35" s="297"/>
      <c r="C35" s="297"/>
      <c r="D35" s="297"/>
      <c r="E35" s="297"/>
      <c r="F35" s="297"/>
    </row>
    <row r="36" spans="1:27" x14ac:dyDescent="0.25">
      <c r="A36" s="624" t="s">
        <v>59</v>
      </c>
      <c r="B36" s="624"/>
      <c r="C36" s="624"/>
      <c r="D36" s="624"/>
      <c r="E36" s="624"/>
      <c r="F36" s="624"/>
      <c r="G36" s="624"/>
      <c r="H36" s="624"/>
      <c r="I36" s="624"/>
      <c r="J36" s="624"/>
      <c r="K36" s="624"/>
      <c r="L36" s="624"/>
      <c r="M36" s="624"/>
      <c r="N36" s="624"/>
      <c r="O36" s="624"/>
      <c r="P36" s="624"/>
      <c r="Q36" s="624"/>
      <c r="R36" s="624"/>
      <c r="S36" s="624"/>
      <c r="T36" s="624"/>
      <c r="U36" s="624"/>
      <c r="V36" s="624"/>
      <c r="W36" s="624"/>
      <c r="X36" s="624"/>
      <c r="Y36" s="624"/>
      <c r="Z36" s="624"/>
      <c r="AA36" s="624"/>
    </row>
    <row r="37" spans="1:27" s="16" customFormat="1" ht="15.75" thickBot="1" x14ac:dyDescent="0.3">
      <c r="A37" s="298"/>
      <c r="B37" s="298"/>
      <c r="C37" s="488"/>
      <c r="D37" s="488"/>
      <c r="E37" s="298"/>
      <c r="F37" s="298"/>
      <c r="G37" s="298"/>
      <c r="H37" s="298"/>
      <c r="I37" s="298"/>
      <c r="J37" s="298"/>
      <c r="K37" s="298"/>
      <c r="L37" s="488"/>
      <c r="M37" s="488"/>
      <c r="N37" s="298"/>
      <c r="O37" s="298"/>
      <c r="P37" s="298"/>
      <c r="Q37" s="298"/>
    </row>
    <row r="38" spans="1:27" ht="15.75" thickBot="1" x14ac:dyDescent="0.3">
      <c r="A38" s="625" t="s">
        <v>157</v>
      </c>
      <c r="B38" s="626"/>
      <c r="C38" s="626"/>
      <c r="D38" s="626"/>
      <c r="E38" s="626"/>
      <c r="F38" s="626"/>
      <c r="G38" s="626"/>
      <c r="H38" s="627"/>
    </row>
    <row r="39" spans="1:27" x14ac:dyDescent="0.25">
      <c r="A39" s="299" t="s">
        <v>13</v>
      </c>
      <c r="B39" s="299" t="s">
        <v>17</v>
      </c>
      <c r="C39" s="65" t="s">
        <v>107</v>
      </c>
      <c r="D39" s="65" t="s">
        <v>108</v>
      </c>
      <c r="E39" s="631" t="s">
        <v>15</v>
      </c>
      <c r="F39" s="632"/>
      <c r="G39" s="299" t="s">
        <v>42</v>
      </c>
      <c r="H39" s="299" t="s">
        <v>43</v>
      </c>
      <c r="I39" s="300"/>
    </row>
    <row r="40" spans="1:27" x14ac:dyDescent="0.25">
      <c r="A40" s="3" t="s">
        <v>157</v>
      </c>
      <c r="B40" s="301">
        <v>15</v>
      </c>
      <c r="C40" s="537">
        <v>1</v>
      </c>
      <c r="D40" s="518">
        <f>B40*C40</f>
        <v>15</v>
      </c>
      <c r="E40" s="389">
        <f>D40*Q31/400</f>
        <v>0.375</v>
      </c>
      <c r="F40" s="137" t="s">
        <v>168</v>
      </c>
      <c r="G40" s="302"/>
      <c r="H40" s="201">
        <f>D40*G40/400</f>
        <v>0</v>
      </c>
      <c r="I40" s="187"/>
    </row>
    <row r="41" spans="1:27" x14ac:dyDescent="0.25">
      <c r="A41" s="303"/>
      <c r="B41" s="304"/>
      <c r="C41" s="304"/>
      <c r="D41" s="304"/>
      <c r="E41" s="300"/>
      <c r="F41" s="300"/>
      <c r="H41" s="206">
        <f>SUM(H40:H40)</f>
        <v>0</v>
      </c>
    </row>
    <row r="42" spans="1:27" x14ac:dyDescent="0.25">
      <c r="A42" s="303"/>
      <c r="B42" s="304"/>
      <c r="C42" s="304"/>
      <c r="D42" s="304"/>
      <c r="E42" s="300"/>
      <c r="F42" s="300"/>
      <c r="H42" s="305"/>
    </row>
    <row r="43" spans="1:27" x14ac:dyDescent="0.25">
      <c r="A43" s="624" t="s">
        <v>60</v>
      </c>
      <c r="B43" s="624"/>
      <c r="C43" s="624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4"/>
      <c r="X43" s="624"/>
      <c r="Y43" s="624"/>
      <c r="Z43" s="624"/>
      <c r="AA43" s="624"/>
    </row>
    <row r="44" spans="1:27" ht="15.75" thickBot="1" x14ac:dyDescent="0.3">
      <c r="B44" s="297"/>
      <c r="C44" s="297"/>
      <c r="D44" s="297"/>
      <c r="E44" s="297"/>
      <c r="F44" s="297"/>
    </row>
    <row r="45" spans="1:27" s="16" customFormat="1" ht="15.75" thickBot="1" x14ac:dyDescent="0.3">
      <c r="A45" s="625" t="s">
        <v>169</v>
      </c>
      <c r="B45" s="626"/>
      <c r="C45" s="626"/>
      <c r="D45" s="626"/>
      <c r="E45" s="626"/>
      <c r="F45" s="626"/>
      <c r="G45" s="626"/>
      <c r="H45" s="627"/>
      <c r="I45"/>
      <c r="J45" s="625" t="s">
        <v>61</v>
      </c>
      <c r="K45" s="626"/>
      <c r="L45" s="626"/>
      <c r="M45" s="626"/>
      <c r="N45" s="626"/>
      <c r="O45" s="626"/>
      <c r="P45" s="626"/>
      <c r="Q45" s="627"/>
      <c r="R45"/>
      <c r="S45" s="625" t="s">
        <v>50</v>
      </c>
      <c r="T45" s="626"/>
      <c r="U45" s="626"/>
      <c r="V45" s="626"/>
      <c r="W45" s="626"/>
      <c r="X45" s="626"/>
      <c r="Y45" s="626"/>
      <c r="Z45" s="627"/>
      <c r="AA45"/>
    </row>
    <row r="46" spans="1:27" ht="38.25" x14ac:dyDescent="0.25">
      <c r="A46" s="101" t="s">
        <v>13</v>
      </c>
      <c r="B46" s="102" t="s">
        <v>45</v>
      </c>
      <c r="C46" s="65" t="s">
        <v>107</v>
      </c>
      <c r="D46" s="65" t="s">
        <v>108</v>
      </c>
      <c r="E46" s="569" t="s">
        <v>15</v>
      </c>
      <c r="F46" s="570"/>
      <c r="G46" s="299" t="s">
        <v>0</v>
      </c>
      <c r="H46" s="299" t="s">
        <v>1</v>
      </c>
      <c r="J46" s="101" t="s">
        <v>13</v>
      </c>
      <c r="K46" s="102" t="s">
        <v>170</v>
      </c>
      <c r="L46" s="65" t="s">
        <v>107</v>
      </c>
      <c r="M46" s="65" t="s">
        <v>108</v>
      </c>
      <c r="N46" s="569" t="s">
        <v>15</v>
      </c>
      <c r="O46" s="570"/>
      <c r="P46" s="299" t="s">
        <v>0</v>
      </c>
      <c r="Q46" s="299" t="s">
        <v>1</v>
      </c>
      <c r="S46" s="101" t="s">
        <v>13</v>
      </c>
      <c r="T46" s="102" t="s">
        <v>45</v>
      </c>
      <c r="U46" s="65" t="s">
        <v>107</v>
      </c>
      <c r="V46" s="65" t="s">
        <v>108</v>
      </c>
      <c r="W46" s="569" t="s">
        <v>15</v>
      </c>
      <c r="X46" s="570"/>
      <c r="Y46" s="299" t="s">
        <v>0</v>
      </c>
      <c r="Z46" s="299" t="s">
        <v>1</v>
      </c>
    </row>
    <row r="47" spans="1:27" x14ac:dyDescent="0.25">
      <c r="A47" s="3" t="s">
        <v>46</v>
      </c>
      <c r="B47" s="306">
        <v>15</v>
      </c>
      <c r="C47" s="538">
        <v>1.18</v>
      </c>
      <c r="D47" s="520">
        <f>B47*C47</f>
        <v>17.7</v>
      </c>
      <c r="E47" s="389">
        <f>D47*$Q$31/1000</f>
        <v>0.17699999999999999</v>
      </c>
      <c r="F47" s="5" t="s">
        <v>25</v>
      </c>
      <c r="G47" s="308"/>
      <c r="H47" s="201">
        <f>D47*G47/1000</f>
        <v>0</v>
      </c>
      <c r="J47" s="7" t="s">
        <v>63</v>
      </c>
      <c r="K47" s="5">
        <v>20</v>
      </c>
      <c r="L47" s="523">
        <v>1</v>
      </c>
      <c r="M47" s="522">
        <f>K47*L47</f>
        <v>20</v>
      </c>
      <c r="N47" s="307">
        <f>M47*$Q$31/1000</f>
        <v>0.2</v>
      </c>
      <c r="O47" s="5" t="s">
        <v>25</v>
      </c>
      <c r="P47" s="308"/>
      <c r="Q47" s="201">
        <f>M47*P47/1000</f>
        <v>0</v>
      </c>
      <c r="S47" s="3" t="s">
        <v>50</v>
      </c>
      <c r="T47" s="306">
        <v>15</v>
      </c>
      <c r="U47" s="538">
        <v>1</v>
      </c>
      <c r="V47" s="520">
        <f>T47*U47</f>
        <v>15</v>
      </c>
      <c r="W47" s="307">
        <f>V47*$Q$31/1000</f>
        <v>0.15</v>
      </c>
      <c r="X47" s="309" t="s">
        <v>25</v>
      </c>
      <c r="Y47" s="308"/>
      <c r="Z47" s="201">
        <f>V47*Y47/1000</f>
        <v>0</v>
      </c>
    </row>
    <row r="48" spans="1:27" x14ac:dyDescent="0.25">
      <c r="A48" s="3" t="s">
        <v>2</v>
      </c>
      <c r="B48" s="310">
        <v>4</v>
      </c>
      <c r="C48" s="538">
        <v>1.08</v>
      </c>
      <c r="D48" s="520">
        <f t="shared" ref="D48:D55" si="0">B48*C48</f>
        <v>4.32</v>
      </c>
      <c r="E48" s="389">
        <f t="shared" ref="E48:E55" si="1">D48*$Q$31/1000</f>
        <v>4.3200000000000002E-2</v>
      </c>
      <c r="F48" s="5" t="s">
        <v>25</v>
      </c>
      <c r="G48" s="311"/>
      <c r="H48" s="201">
        <f t="shared" ref="H48:H55" si="2">D48*G48/1000</f>
        <v>0</v>
      </c>
      <c r="I48" s="312"/>
      <c r="J48" s="6" t="s">
        <v>5</v>
      </c>
      <c r="K48" s="5">
        <v>0.5</v>
      </c>
      <c r="L48" s="523">
        <v>1</v>
      </c>
      <c r="M48" s="522">
        <f t="shared" ref="M48:M51" si="3">K48*L48</f>
        <v>0.5</v>
      </c>
      <c r="N48" s="307">
        <f t="shared" ref="N48:N50" si="4">M48*$Q$31/1000</f>
        <v>5.0000000000000001E-3</v>
      </c>
      <c r="O48" s="5" t="s">
        <v>25</v>
      </c>
      <c r="P48" s="308"/>
      <c r="Q48" s="201">
        <f t="shared" ref="Q48:Q50" si="5">M48*P48/1000</f>
        <v>0</v>
      </c>
      <c r="S48" s="104" t="s">
        <v>52</v>
      </c>
      <c r="T48" s="96">
        <v>10</v>
      </c>
      <c r="U48" s="540">
        <v>1.1599999999999999</v>
      </c>
      <c r="V48" s="520">
        <f t="shared" ref="V48:V55" si="6">T48*U48</f>
        <v>11.6</v>
      </c>
      <c r="W48" s="307">
        <f t="shared" ref="W48:W53" si="7">V48*$Q$31/1000</f>
        <v>0.11600000000000001</v>
      </c>
      <c r="X48" s="91" t="s">
        <v>25</v>
      </c>
      <c r="Y48" s="106"/>
      <c r="Z48" s="201">
        <f t="shared" ref="Z48:Z55" si="8">V48*Y48/1000</f>
        <v>0</v>
      </c>
    </row>
    <row r="49" spans="1:27" x14ac:dyDescent="0.25">
      <c r="A49" s="3" t="s">
        <v>3</v>
      </c>
      <c r="B49" s="310">
        <v>0.4</v>
      </c>
      <c r="C49" s="538">
        <v>1.18</v>
      </c>
      <c r="D49" s="520">
        <f t="shared" si="0"/>
        <v>0.47199999999999998</v>
      </c>
      <c r="E49" s="389">
        <f t="shared" si="1"/>
        <v>4.7199999999999994E-3</v>
      </c>
      <c r="F49" s="5" t="s">
        <v>25</v>
      </c>
      <c r="G49" s="311"/>
      <c r="H49" s="201">
        <f t="shared" si="2"/>
        <v>0</v>
      </c>
      <c r="J49" s="6" t="s">
        <v>3</v>
      </c>
      <c r="K49" s="5">
        <v>0.4</v>
      </c>
      <c r="L49" s="523">
        <v>1.18</v>
      </c>
      <c r="M49" s="522">
        <f t="shared" si="3"/>
        <v>0.47199999999999998</v>
      </c>
      <c r="N49" s="307">
        <f t="shared" si="4"/>
        <v>4.7199999999999994E-3</v>
      </c>
      <c r="O49" s="5" t="s">
        <v>25</v>
      </c>
      <c r="P49" s="308"/>
      <c r="Q49" s="201">
        <f t="shared" si="5"/>
        <v>0</v>
      </c>
      <c r="S49" s="3" t="s">
        <v>51</v>
      </c>
      <c r="T49" s="306">
        <v>15</v>
      </c>
      <c r="U49" s="538">
        <v>1.35</v>
      </c>
      <c r="V49" s="520">
        <f t="shared" si="6"/>
        <v>20.25</v>
      </c>
      <c r="W49" s="307">
        <f t="shared" si="7"/>
        <v>0.20250000000000001</v>
      </c>
      <c r="X49" s="309" t="s">
        <v>25</v>
      </c>
      <c r="Y49" s="311"/>
      <c r="Z49" s="201">
        <f t="shared" si="8"/>
        <v>0</v>
      </c>
    </row>
    <row r="50" spans="1:27" x14ac:dyDescent="0.25">
      <c r="A50" s="3" t="s">
        <v>47</v>
      </c>
      <c r="B50" s="310">
        <v>0.7</v>
      </c>
      <c r="C50" s="538">
        <v>1</v>
      </c>
      <c r="D50" s="520">
        <f t="shared" si="0"/>
        <v>0.7</v>
      </c>
      <c r="E50" s="389">
        <f>D50*$Q$31/100</f>
        <v>7.0000000000000007E-2</v>
      </c>
      <c r="F50" s="5" t="s">
        <v>36</v>
      </c>
      <c r="G50" s="311"/>
      <c r="H50" s="201">
        <f>D50*G50/100</f>
        <v>0</v>
      </c>
      <c r="J50" s="6" t="s">
        <v>2</v>
      </c>
      <c r="K50" s="5">
        <v>4</v>
      </c>
      <c r="L50" s="523">
        <v>1.08</v>
      </c>
      <c r="M50" s="522">
        <f t="shared" si="3"/>
        <v>4.32</v>
      </c>
      <c r="N50" s="307">
        <f t="shared" si="4"/>
        <v>4.3200000000000002E-2</v>
      </c>
      <c r="O50" s="5" t="s">
        <v>25</v>
      </c>
      <c r="P50" s="308"/>
      <c r="Q50" s="201">
        <f t="shared" si="5"/>
        <v>0</v>
      </c>
      <c r="S50" s="3" t="s">
        <v>2</v>
      </c>
      <c r="T50" s="306">
        <v>4</v>
      </c>
      <c r="U50" s="538">
        <v>1.08</v>
      </c>
      <c r="V50" s="520">
        <f t="shared" si="6"/>
        <v>4.32</v>
      </c>
      <c r="W50" s="307">
        <f t="shared" si="7"/>
        <v>4.3200000000000002E-2</v>
      </c>
      <c r="X50" s="309" t="s">
        <v>25</v>
      </c>
      <c r="Y50" s="311"/>
      <c r="Z50" s="201">
        <f t="shared" si="8"/>
        <v>0</v>
      </c>
    </row>
    <row r="51" spans="1:27" x14ac:dyDescent="0.25">
      <c r="A51" s="3" t="s">
        <v>5</v>
      </c>
      <c r="B51" s="310">
        <v>1</v>
      </c>
      <c r="C51" s="538">
        <v>1</v>
      </c>
      <c r="D51" s="520">
        <f t="shared" si="0"/>
        <v>1</v>
      </c>
      <c r="E51" s="389">
        <f t="shared" si="1"/>
        <v>0.01</v>
      </c>
      <c r="F51" s="5" t="s">
        <v>25</v>
      </c>
      <c r="G51" s="311"/>
      <c r="H51" s="201">
        <f t="shared" si="2"/>
        <v>0</v>
      </c>
      <c r="J51" s="6" t="s">
        <v>127</v>
      </c>
      <c r="K51" s="5">
        <v>1</v>
      </c>
      <c r="L51" s="523">
        <v>1</v>
      </c>
      <c r="M51" s="522">
        <f t="shared" si="3"/>
        <v>1</v>
      </c>
      <c r="N51" s="307">
        <f>M51*$Q$31/900</f>
        <v>1.1111111111111112E-2</v>
      </c>
      <c r="O51" s="5" t="s">
        <v>40</v>
      </c>
      <c r="P51" s="308"/>
      <c r="Q51" s="201">
        <f>M51*P51/900</f>
        <v>0</v>
      </c>
      <c r="S51" s="3" t="s">
        <v>3</v>
      </c>
      <c r="T51" s="306">
        <v>0.4</v>
      </c>
      <c r="U51" s="538">
        <v>1.18</v>
      </c>
      <c r="V51" s="520">
        <f t="shared" si="6"/>
        <v>0.47199999999999998</v>
      </c>
      <c r="W51" s="307">
        <f t="shared" si="7"/>
        <v>4.7199999999999994E-3</v>
      </c>
      <c r="X51" s="309" t="s">
        <v>25</v>
      </c>
      <c r="Y51" s="308"/>
      <c r="Z51" s="201">
        <f t="shared" si="8"/>
        <v>0</v>
      </c>
    </row>
    <row r="52" spans="1:27" x14ac:dyDescent="0.25">
      <c r="A52" s="3" t="s">
        <v>10</v>
      </c>
      <c r="B52" s="310">
        <v>5</v>
      </c>
      <c r="C52" s="538">
        <v>1.33</v>
      </c>
      <c r="D52" s="520">
        <f t="shared" si="0"/>
        <v>6.65</v>
      </c>
      <c r="E52" s="389">
        <f t="shared" si="1"/>
        <v>6.6500000000000004E-2</v>
      </c>
      <c r="F52" s="5" t="s">
        <v>16</v>
      </c>
      <c r="G52" s="311"/>
      <c r="H52" s="201">
        <f t="shared" si="2"/>
        <v>0</v>
      </c>
      <c r="Q52" s="206">
        <f>SUM(Q47:Q51)</f>
        <v>0</v>
      </c>
      <c r="S52" s="3" t="s">
        <v>127</v>
      </c>
      <c r="T52" s="306">
        <v>1</v>
      </c>
      <c r="U52" s="538">
        <v>1</v>
      </c>
      <c r="V52" s="520">
        <f t="shared" si="6"/>
        <v>1</v>
      </c>
      <c r="W52" s="307">
        <f>V52*$Q$31/900</f>
        <v>1.1111111111111112E-2</v>
      </c>
      <c r="X52" s="5" t="s">
        <v>40</v>
      </c>
      <c r="Y52" s="311"/>
      <c r="Z52" s="201">
        <f>V52*Y52/900</f>
        <v>0</v>
      </c>
    </row>
    <row r="53" spans="1:27" x14ac:dyDescent="0.25">
      <c r="A53" s="3" t="s">
        <v>128</v>
      </c>
      <c r="B53" s="310">
        <v>2</v>
      </c>
      <c r="C53" s="538">
        <v>1</v>
      </c>
      <c r="D53" s="520">
        <f t="shared" si="0"/>
        <v>2</v>
      </c>
      <c r="E53" s="389">
        <f>D53*$Q$31/900</f>
        <v>2.2222222222222223E-2</v>
      </c>
      <c r="F53" s="5" t="s">
        <v>40</v>
      </c>
      <c r="G53" s="311"/>
      <c r="H53" s="201">
        <f>D53*G53/900</f>
        <v>0</v>
      </c>
      <c r="S53" s="104" t="s">
        <v>10</v>
      </c>
      <c r="T53" s="96">
        <v>5</v>
      </c>
      <c r="U53" s="540">
        <v>1.33</v>
      </c>
      <c r="V53" s="520">
        <f t="shared" si="6"/>
        <v>6.65</v>
      </c>
      <c r="W53" s="307">
        <f t="shared" si="7"/>
        <v>6.6500000000000004E-2</v>
      </c>
      <c r="X53" s="91" t="s">
        <v>25</v>
      </c>
      <c r="Y53" s="108"/>
      <c r="Z53" s="201">
        <f t="shared" si="8"/>
        <v>0</v>
      </c>
    </row>
    <row r="54" spans="1:27" x14ac:dyDescent="0.25">
      <c r="A54" s="313" t="s">
        <v>52</v>
      </c>
      <c r="B54" s="314">
        <v>10</v>
      </c>
      <c r="C54" s="539">
        <v>1.1599999999999999</v>
      </c>
      <c r="D54" s="520">
        <f t="shared" si="0"/>
        <v>11.6</v>
      </c>
      <c r="E54" s="389">
        <f t="shared" si="1"/>
        <v>0.11600000000000001</v>
      </c>
      <c r="F54" s="315" t="s">
        <v>25</v>
      </c>
      <c r="G54" s="316"/>
      <c r="H54" s="201">
        <f t="shared" si="2"/>
        <v>0</v>
      </c>
      <c r="S54" s="3" t="s">
        <v>12</v>
      </c>
      <c r="T54" s="306">
        <v>0.4</v>
      </c>
      <c r="U54" s="538">
        <v>1.35</v>
      </c>
      <c r="V54" s="520">
        <f t="shared" si="6"/>
        <v>0.54</v>
      </c>
      <c r="W54" s="307">
        <f>V54*$Q$31/30</f>
        <v>0.18000000000000002</v>
      </c>
      <c r="X54" s="309" t="s">
        <v>39</v>
      </c>
      <c r="Y54" s="311"/>
      <c r="Z54" s="201">
        <f>V54*Y54/30</f>
        <v>0</v>
      </c>
    </row>
    <row r="55" spans="1:27" x14ac:dyDescent="0.25">
      <c r="A55" s="313" t="s">
        <v>11</v>
      </c>
      <c r="B55" s="314">
        <v>20</v>
      </c>
      <c r="C55" s="539">
        <v>1.35</v>
      </c>
      <c r="D55" s="520">
        <f t="shared" si="0"/>
        <v>27</v>
      </c>
      <c r="E55" s="389">
        <f t="shared" si="1"/>
        <v>0.27</v>
      </c>
      <c r="F55" s="315" t="s">
        <v>25</v>
      </c>
      <c r="G55" s="316"/>
      <c r="H55" s="201">
        <f t="shared" si="2"/>
        <v>0</v>
      </c>
      <c r="S55" s="3" t="s">
        <v>5</v>
      </c>
      <c r="T55" s="306">
        <v>0.5</v>
      </c>
      <c r="U55" s="538">
        <v>1</v>
      </c>
      <c r="V55" s="520">
        <f t="shared" si="6"/>
        <v>0.5</v>
      </c>
      <c r="W55" s="307">
        <f>V55*$Q$31/1000</f>
        <v>5.0000000000000001E-3</v>
      </c>
      <c r="X55" s="309" t="s">
        <v>25</v>
      </c>
      <c r="Y55" s="311"/>
      <c r="Z55" s="201">
        <f t="shared" si="8"/>
        <v>0</v>
      </c>
    </row>
    <row r="56" spans="1:27" x14ac:dyDescent="0.25">
      <c r="E56" s="317"/>
      <c r="F56" s="317"/>
      <c r="G56" s="318"/>
      <c r="H56" s="319">
        <f>SUM(H47:H55)</f>
        <v>0</v>
      </c>
      <c r="I56" s="16"/>
      <c r="J56" s="16"/>
      <c r="K56" s="16"/>
      <c r="L56" s="16"/>
      <c r="M56" s="16"/>
      <c r="N56" s="16"/>
      <c r="O56" s="16"/>
      <c r="P56" s="16"/>
      <c r="Q56" s="16"/>
      <c r="Z56" s="206">
        <f>SUM(Z47:Z55)</f>
        <v>0</v>
      </c>
    </row>
    <row r="57" spans="1:27" x14ac:dyDescent="0.25">
      <c r="I57" s="16"/>
      <c r="J57" s="633"/>
      <c r="K57" s="633"/>
      <c r="L57" s="633"/>
      <c r="M57" s="633"/>
      <c r="N57" s="633"/>
      <c r="O57" s="633"/>
      <c r="P57" s="633"/>
      <c r="Q57" s="633"/>
      <c r="Z57" s="207"/>
    </row>
    <row r="58" spans="1:27" s="16" customFormat="1" x14ac:dyDescent="0.25">
      <c r="A58" s="129"/>
      <c r="B58" s="130"/>
      <c r="C58" s="130"/>
      <c r="D58" s="130"/>
      <c r="E58" s="571"/>
      <c r="F58" s="571"/>
      <c r="G58" s="320"/>
      <c r="H58" s="320"/>
      <c r="I58" s="635"/>
      <c r="J58" s="635"/>
      <c r="K58" s="635"/>
      <c r="L58" s="635"/>
      <c r="M58" s="635"/>
      <c r="N58" s="635"/>
      <c r="O58" s="635"/>
      <c r="P58" s="635"/>
    </row>
    <row r="59" spans="1:27" x14ac:dyDescent="0.25">
      <c r="A59" s="624" t="s">
        <v>145</v>
      </c>
      <c r="B59" s="624"/>
      <c r="C59" s="624"/>
      <c r="D59" s="624"/>
      <c r="E59" s="624"/>
      <c r="F59" s="624"/>
      <c r="G59" s="624"/>
      <c r="H59" s="624"/>
      <c r="I59" s="624"/>
      <c r="J59" s="624"/>
      <c r="K59" s="624"/>
      <c r="L59" s="624"/>
      <c r="M59" s="624"/>
      <c r="N59" s="624"/>
      <c r="O59" s="624"/>
      <c r="P59" s="624"/>
      <c r="Q59" s="624"/>
      <c r="R59" s="624"/>
      <c r="S59" s="624"/>
      <c r="T59" s="624"/>
      <c r="U59" s="624"/>
      <c r="V59" s="624"/>
      <c r="W59" s="624"/>
      <c r="X59" s="624"/>
      <c r="Y59" s="624"/>
      <c r="Z59" s="624"/>
      <c r="AA59" s="624"/>
    </row>
    <row r="60" spans="1:27" ht="15.75" thickBot="1" x14ac:dyDescent="0.3"/>
    <row r="61" spans="1:27" s="16" customFormat="1" ht="15.75" thickBot="1" x14ac:dyDescent="0.3">
      <c r="A61" s="625" t="s">
        <v>171</v>
      </c>
      <c r="B61" s="626"/>
      <c r="C61" s="626"/>
      <c r="D61" s="626"/>
      <c r="E61" s="626"/>
      <c r="F61" s="626"/>
      <c r="G61" s="626"/>
      <c r="H61" s="627"/>
    </row>
    <row r="62" spans="1:27" s="16" customFormat="1" ht="25.5" x14ac:dyDescent="0.25">
      <c r="A62" s="101" t="s">
        <v>13</v>
      </c>
      <c r="B62" s="102" t="s">
        <v>45</v>
      </c>
      <c r="C62" s="65" t="s">
        <v>107</v>
      </c>
      <c r="D62" s="65" t="s">
        <v>108</v>
      </c>
      <c r="E62" s="578" t="s">
        <v>15</v>
      </c>
      <c r="F62" s="578"/>
      <c r="G62" s="299" t="s">
        <v>0</v>
      </c>
      <c r="H62" s="299" t="s">
        <v>1</v>
      </c>
    </row>
    <row r="63" spans="1:27" s="16" customFormat="1" x14ac:dyDescent="0.25">
      <c r="A63" s="6" t="s">
        <v>27</v>
      </c>
      <c r="B63" s="5">
        <v>60</v>
      </c>
      <c r="C63" s="521">
        <v>1.55</v>
      </c>
      <c r="D63" s="523">
        <f>B63*C63</f>
        <v>93</v>
      </c>
      <c r="E63" s="389">
        <f>D63*$Q$31/1000</f>
        <v>0.93</v>
      </c>
      <c r="F63" s="5" t="s">
        <v>25</v>
      </c>
      <c r="G63" s="321"/>
      <c r="H63" s="311">
        <f>D63*G63/1000</f>
        <v>0</v>
      </c>
    </row>
    <row r="64" spans="1:27" s="16" customFormat="1" x14ac:dyDescent="0.25">
      <c r="A64" s="322"/>
      <c r="B64" s="323"/>
      <c r="C64" s="323"/>
      <c r="D64" s="323"/>
      <c r="E64" s="324"/>
      <c r="F64" s="325"/>
      <c r="G64" s="326"/>
      <c r="H64" s="327">
        <f>SUM(H63)</f>
        <v>0</v>
      </c>
    </row>
    <row r="65" spans="1:27" s="16" customFormat="1" x14ac:dyDescent="0.25"/>
    <row r="66" spans="1:27" x14ac:dyDescent="0.25">
      <c r="A66" s="624" t="s">
        <v>62</v>
      </c>
      <c r="B66" s="624"/>
      <c r="C66" s="624"/>
      <c r="D66" s="624"/>
      <c r="E66" s="624"/>
      <c r="F66" s="624"/>
      <c r="G66" s="624"/>
      <c r="H66" s="624"/>
      <c r="I66" s="624"/>
      <c r="J66" s="624"/>
      <c r="K66" s="624"/>
      <c r="L66" s="624"/>
      <c r="M66" s="624"/>
      <c r="N66" s="624"/>
      <c r="O66" s="624"/>
      <c r="P66" s="624"/>
      <c r="Q66" s="624"/>
      <c r="R66" s="624"/>
      <c r="S66" s="624"/>
      <c r="T66" s="624"/>
      <c r="U66" s="624"/>
      <c r="V66" s="624"/>
      <c r="W66" s="624"/>
      <c r="X66" s="624"/>
      <c r="Y66" s="624"/>
      <c r="Z66" s="624"/>
      <c r="AA66" s="624"/>
    </row>
    <row r="67" spans="1:27" ht="15.75" thickBot="1" x14ac:dyDescent="0.3"/>
    <row r="68" spans="1:27" s="16" customFormat="1" ht="15.75" thickBot="1" x14ac:dyDescent="0.3">
      <c r="A68" s="625" t="s">
        <v>72</v>
      </c>
      <c r="B68" s="626"/>
      <c r="C68" s="626"/>
      <c r="D68" s="626"/>
      <c r="E68" s="626"/>
      <c r="F68" s="626"/>
      <c r="G68" s="626"/>
      <c r="H68" s="627"/>
      <c r="J68" s="129"/>
      <c r="K68" s="130"/>
      <c r="L68" s="130"/>
      <c r="M68" s="130"/>
      <c r="N68" s="571"/>
      <c r="O68" s="571"/>
      <c r="P68" s="320"/>
      <c r="Q68" s="320"/>
    </row>
    <row r="69" spans="1:27" s="16" customFormat="1" ht="25.5" x14ac:dyDescent="0.25">
      <c r="A69" s="101" t="s">
        <v>13</v>
      </c>
      <c r="B69" s="102" t="s">
        <v>45</v>
      </c>
      <c r="C69" s="65" t="s">
        <v>107</v>
      </c>
      <c r="D69" s="65" t="s">
        <v>108</v>
      </c>
      <c r="E69" s="569" t="s">
        <v>15</v>
      </c>
      <c r="F69" s="570"/>
      <c r="G69" s="299" t="s">
        <v>0</v>
      </c>
      <c r="H69" s="299" t="s">
        <v>1</v>
      </c>
      <c r="J69" s="129"/>
      <c r="K69" s="130"/>
      <c r="L69" s="130"/>
      <c r="M69" s="130"/>
      <c r="N69" s="188"/>
      <c r="O69" s="188"/>
      <c r="P69" s="320"/>
      <c r="Q69" s="320"/>
    </row>
    <row r="70" spans="1:27" s="16" customFormat="1" x14ac:dyDescent="0.25">
      <c r="A70" s="7" t="s">
        <v>46</v>
      </c>
      <c r="B70" s="306">
        <v>10</v>
      </c>
      <c r="C70" s="541">
        <v>1.18</v>
      </c>
      <c r="D70" s="528">
        <f>B70*C70</f>
        <v>11.799999999999999</v>
      </c>
      <c r="E70" s="389">
        <f>D70*$Q$31/1000</f>
        <v>0.11799999999999998</v>
      </c>
      <c r="F70" s="211" t="s">
        <v>16</v>
      </c>
      <c r="G70" s="311"/>
      <c r="H70" s="311">
        <f>D70*G70/1000</f>
        <v>0</v>
      </c>
      <c r="J70" s="129"/>
      <c r="K70" s="130"/>
      <c r="L70" s="130"/>
      <c r="M70" s="130"/>
      <c r="N70" s="188"/>
      <c r="O70" s="188"/>
      <c r="P70" s="320"/>
      <c r="Q70" s="320"/>
    </row>
    <row r="71" spans="1:27" s="16" customFormat="1" x14ac:dyDescent="0.25">
      <c r="A71" s="7" t="s">
        <v>63</v>
      </c>
      <c r="B71" s="310">
        <v>10</v>
      </c>
      <c r="C71" s="541">
        <v>1</v>
      </c>
      <c r="D71" s="528">
        <f t="shared" ref="D71:D80" si="9">B71*C71</f>
        <v>10</v>
      </c>
      <c r="E71" s="389">
        <f t="shared" ref="E71:E77" si="10">D71*$Q$31/1000</f>
        <v>0.1</v>
      </c>
      <c r="F71" s="211" t="s">
        <v>16</v>
      </c>
      <c r="G71" s="311"/>
      <c r="H71" s="311">
        <f t="shared" ref="H71:H77" si="11">D71*G71/1000</f>
        <v>0</v>
      </c>
      <c r="J71" s="129"/>
      <c r="K71" s="130"/>
      <c r="L71" s="130"/>
      <c r="M71" s="130"/>
      <c r="N71" s="188"/>
      <c r="O71" s="188"/>
      <c r="P71" s="320"/>
      <c r="Q71" s="320"/>
    </row>
    <row r="72" spans="1:27" s="16" customFormat="1" x14ac:dyDescent="0.25">
      <c r="A72" s="7" t="s">
        <v>7</v>
      </c>
      <c r="B72" s="310">
        <v>15</v>
      </c>
      <c r="C72" s="541">
        <v>1.18</v>
      </c>
      <c r="D72" s="528">
        <f t="shared" si="9"/>
        <v>17.7</v>
      </c>
      <c r="E72" s="389">
        <f t="shared" si="10"/>
        <v>0.17699999999999999</v>
      </c>
      <c r="F72" s="211" t="s">
        <v>16</v>
      </c>
      <c r="G72" s="311"/>
      <c r="H72" s="311">
        <f t="shared" si="11"/>
        <v>0</v>
      </c>
      <c r="J72" s="129"/>
      <c r="K72" s="130"/>
      <c r="L72" s="130"/>
      <c r="M72" s="130"/>
      <c r="N72" s="188"/>
      <c r="O72" s="188"/>
      <c r="P72" s="320"/>
      <c r="Q72" s="320"/>
    </row>
    <row r="73" spans="1:27" s="16" customFormat="1" x14ac:dyDescent="0.25">
      <c r="A73" s="7" t="s">
        <v>8</v>
      </c>
      <c r="B73" s="310">
        <v>10</v>
      </c>
      <c r="C73" s="541">
        <v>1.46</v>
      </c>
      <c r="D73" s="528">
        <f t="shared" si="9"/>
        <v>14.6</v>
      </c>
      <c r="E73" s="389">
        <f t="shared" si="10"/>
        <v>0.14599999999999999</v>
      </c>
      <c r="F73" s="211" t="s">
        <v>16</v>
      </c>
      <c r="G73" s="311"/>
      <c r="H73" s="311">
        <f t="shared" si="11"/>
        <v>0</v>
      </c>
      <c r="J73" s="129"/>
      <c r="K73" s="130"/>
      <c r="L73" s="130"/>
      <c r="M73" s="130"/>
      <c r="N73" s="188"/>
      <c r="O73" s="188"/>
      <c r="P73" s="320"/>
      <c r="Q73" s="320"/>
    </row>
    <row r="74" spans="1:27" s="16" customFormat="1" x14ac:dyDescent="0.25">
      <c r="A74" s="7" t="s">
        <v>10</v>
      </c>
      <c r="B74" s="310">
        <v>5</v>
      </c>
      <c r="C74" s="541">
        <v>1.33</v>
      </c>
      <c r="D74" s="528">
        <f t="shared" si="9"/>
        <v>6.65</v>
      </c>
      <c r="E74" s="389">
        <f t="shared" si="10"/>
        <v>6.6500000000000004E-2</v>
      </c>
      <c r="F74" s="211" t="s">
        <v>16</v>
      </c>
      <c r="G74" s="311"/>
      <c r="H74" s="311">
        <f t="shared" si="11"/>
        <v>0</v>
      </c>
      <c r="J74" s="129"/>
      <c r="K74" s="130"/>
      <c r="L74" s="130"/>
      <c r="M74" s="130"/>
      <c r="N74" s="188"/>
      <c r="O74" s="188"/>
      <c r="P74" s="320"/>
      <c r="Q74" s="320"/>
    </row>
    <row r="75" spans="1:27" s="16" customFormat="1" x14ac:dyDescent="0.25">
      <c r="A75" s="7" t="s">
        <v>2</v>
      </c>
      <c r="B75" s="310">
        <v>4</v>
      </c>
      <c r="C75" s="541">
        <v>1.08</v>
      </c>
      <c r="D75" s="528">
        <f t="shared" si="9"/>
        <v>4.32</v>
      </c>
      <c r="E75" s="389">
        <f t="shared" si="10"/>
        <v>4.3200000000000002E-2</v>
      </c>
      <c r="F75" s="211" t="s">
        <v>16</v>
      </c>
      <c r="G75" s="311"/>
      <c r="H75" s="311">
        <f t="shared" si="11"/>
        <v>0</v>
      </c>
      <c r="J75" s="129"/>
      <c r="K75" s="130"/>
      <c r="L75" s="130"/>
      <c r="M75" s="130"/>
      <c r="N75" s="188"/>
      <c r="O75" s="188"/>
      <c r="P75" s="320"/>
      <c r="Q75" s="320"/>
    </row>
    <row r="76" spans="1:27" s="16" customFormat="1" x14ac:dyDescent="0.25">
      <c r="A76" s="3" t="s">
        <v>12</v>
      </c>
      <c r="B76" s="310">
        <v>0.4</v>
      </c>
      <c r="C76" s="541">
        <v>1.35</v>
      </c>
      <c r="D76" s="528">
        <f t="shared" si="9"/>
        <v>0.54</v>
      </c>
      <c r="E76" s="389">
        <f>D76*$Q$31/30</f>
        <v>0.18000000000000002</v>
      </c>
      <c r="F76" s="309" t="s">
        <v>172</v>
      </c>
      <c r="G76" s="166"/>
      <c r="H76" s="311">
        <f>D76*G76/30</f>
        <v>0</v>
      </c>
      <c r="J76" s="129"/>
      <c r="K76" s="130"/>
      <c r="L76" s="130"/>
      <c r="M76" s="130"/>
      <c r="N76" s="188"/>
      <c r="O76" s="188"/>
      <c r="P76" s="320"/>
      <c r="Q76" s="320"/>
    </row>
    <row r="77" spans="1:27" s="16" customFormat="1" x14ac:dyDescent="0.25">
      <c r="A77" s="7" t="s">
        <v>3</v>
      </c>
      <c r="B77" s="310">
        <v>0.4</v>
      </c>
      <c r="C77" s="541">
        <v>1.18</v>
      </c>
      <c r="D77" s="528">
        <f t="shared" si="9"/>
        <v>0.47199999999999998</v>
      </c>
      <c r="E77" s="389">
        <f t="shared" si="10"/>
        <v>4.7199999999999994E-3</v>
      </c>
      <c r="F77" s="211" t="s">
        <v>16</v>
      </c>
      <c r="G77" s="311"/>
      <c r="H77" s="311">
        <f t="shared" si="11"/>
        <v>0</v>
      </c>
      <c r="J77" s="129"/>
      <c r="K77" s="130"/>
      <c r="L77" s="130"/>
      <c r="M77" s="130"/>
      <c r="N77" s="188"/>
      <c r="O77" s="188"/>
      <c r="P77" s="320"/>
      <c r="Q77" s="320"/>
    </row>
    <row r="78" spans="1:27" s="16" customFormat="1" x14ac:dyDescent="0.25">
      <c r="A78" s="7" t="s">
        <v>6</v>
      </c>
      <c r="B78" s="310">
        <v>0.7</v>
      </c>
      <c r="C78" s="541">
        <v>1</v>
      </c>
      <c r="D78" s="528">
        <f t="shared" si="9"/>
        <v>0.7</v>
      </c>
      <c r="E78" s="389">
        <f>D78*$Q$31/100</f>
        <v>7.0000000000000007E-2</v>
      </c>
      <c r="F78" s="211" t="s">
        <v>71</v>
      </c>
      <c r="G78" s="311"/>
      <c r="H78" s="311">
        <f>D78*G78/100</f>
        <v>0</v>
      </c>
      <c r="J78" s="129"/>
      <c r="K78" s="130"/>
      <c r="L78" s="130"/>
      <c r="M78" s="130"/>
      <c r="N78" s="188"/>
      <c r="O78" s="188"/>
      <c r="P78" s="320"/>
      <c r="Q78" s="320"/>
    </row>
    <row r="79" spans="1:27" s="16" customFormat="1" x14ac:dyDescent="0.25">
      <c r="A79" s="7" t="s">
        <v>127</v>
      </c>
      <c r="B79" s="310">
        <v>1</v>
      </c>
      <c r="C79" s="541">
        <v>1</v>
      </c>
      <c r="D79" s="528">
        <f t="shared" si="9"/>
        <v>1</v>
      </c>
      <c r="E79" s="389">
        <f>D79*$Q$31/900</f>
        <v>1.1111111111111112E-2</v>
      </c>
      <c r="F79" s="328" t="s">
        <v>131</v>
      </c>
      <c r="G79" s="311"/>
      <c r="H79" s="311">
        <f>D79*G79/900</f>
        <v>0</v>
      </c>
      <c r="J79" s="129"/>
      <c r="K79" s="130"/>
      <c r="L79" s="130"/>
      <c r="M79" s="130"/>
      <c r="N79" s="188"/>
      <c r="O79" s="188"/>
      <c r="P79" s="320"/>
      <c r="Q79" s="320"/>
    </row>
    <row r="80" spans="1:27" s="16" customFormat="1" x14ac:dyDescent="0.25">
      <c r="A80" s="7" t="s">
        <v>5</v>
      </c>
      <c r="B80" s="310">
        <v>0.5</v>
      </c>
      <c r="C80" s="541">
        <v>1</v>
      </c>
      <c r="D80" s="528">
        <f t="shared" si="9"/>
        <v>0.5</v>
      </c>
      <c r="E80" s="389">
        <f>D80*$Q$31/1000</f>
        <v>5.0000000000000001E-3</v>
      </c>
      <c r="F80" s="211" t="s">
        <v>16</v>
      </c>
      <c r="G80" s="311"/>
      <c r="H80" s="311">
        <f>D80*G80/1000</f>
        <v>0</v>
      </c>
      <c r="J80" s="129"/>
      <c r="K80" s="130"/>
      <c r="L80" s="130"/>
      <c r="M80" s="130"/>
      <c r="N80" s="188"/>
      <c r="O80" s="188"/>
      <c r="P80" s="320"/>
      <c r="Q80" s="320"/>
    </row>
    <row r="81" spans="1:27" s="16" customFormat="1" x14ac:dyDescent="0.25">
      <c r="A81" s="329"/>
      <c r="B81" s="330"/>
      <c r="C81" s="330"/>
      <c r="D81" s="330"/>
      <c r="E81" s="331"/>
      <c r="F81" s="330"/>
      <c r="G81"/>
      <c r="H81" s="206">
        <f>SUM(H70:H80)</f>
        <v>0</v>
      </c>
      <c r="J81" s="10"/>
      <c r="K81" s="130"/>
      <c r="L81" s="130"/>
      <c r="M81" s="130"/>
      <c r="N81" s="188"/>
      <c r="O81" s="188"/>
      <c r="P81" s="332"/>
      <c r="U81" s="530"/>
      <c r="V81" s="530"/>
    </row>
    <row r="82" spans="1:27" s="16" customFormat="1" x14ac:dyDescent="0.25">
      <c r="J82" s="13"/>
      <c r="K82" s="628" t="s">
        <v>173</v>
      </c>
      <c r="L82" s="628"/>
      <c r="M82" s="628"/>
      <c r="N82" s="333">
        <f>H41+H56+Q52+Z56+H64+H81</f>
        <v>0</v>
      </c>
      <c r="O82" s="188"/>
      <c r="P82" s="332"/>
    </row>
    <row r="83" spans="1:27" s="16" customFormat="1" x14ac:dyDescent="0.25">
      <c r="J83" s="13"/>
      <c r="K83" s="130"/>
      <c r="L83" s="130"/>
      <c r="M83" s="130"/>
      <c r="N83" s="188"/>
      <c r="O83" s="188"/>
      <c r="P83" s="332"/>
    </row>
    <row r="84" spans="1:27" s="16" customFormat="1" x14ac:dyDescent="0.25">
      <c r="K84" s="130"/>
      <c r="L84" s="130"/>
      <c r="M84" s="130"/>
      <c r="N84" s="188"/>
      <c r="O84" s="188"/>
      <c r="Q84" s="225"/>
    </row>
    <row r="85" spans="1:27" ht="25.5" x14ac:dyDescent="0.35">
      <c r="A85" s="630" t="s">
        <v>24</v>
      </c>
      <c r="B85" s="630"/>
      <c r="C85" s="630"/>
      <c r="D85" s="630"/>
      <c r="E85" s="630"/>
      <c r="F85" s="630"/>
      <c r="G85" s="630"/>
      <c r="H85" s="630"/>
      <c r="I85" s="630"/>
      <c r="J85" s="630"/>
      <c r="K85" s="630"/>
      <c r="L85" s="630"/>
      <c r="M85" s="630"/>
      <c r="N85" s="630"/>
      <c r="O85" s="630"/>
      <c r="P85" s="630"/>
      <c r="Q85" s="630"/>
      <c r="R85" s="630"/>
      <c r="S85" s="630"/>
      <c r="T85" s="630"/>
      <c r="U85" s="630"/>
      <c r="V85" s="630"/>
      <c r="W85" s="630"/>
      <c r="X85" s="630"/>
      <c r="Y85" s="630"/>
      <c r="Z85" s="630"/>
      <c r="AA85" s="630"/>
    </row>
    <row r="87" spans="1:27" x14ac:dyDescent="0.25">
      <c r="A87" s="624" t="s">
        <v>59</v>
      </c>
      <c r="B87" s="624"/>
      <c r="C87" s="624"/>
      <c r="D87" s="624"/>
      <c r="E87" s="624"/>
      <c r="F87" s="624"/>
      <c r="G87" s="624"/>
      <c r="H87" s="624"/>
      <c r="I87" s="624"/>
      <c r="J87" s="624"/>
      <c r="K87" s="624"/>
      <c r="L87" s="624"/>
      <c r="M87" s="624"/>
      <c r="N87" s="624"/>
      <c r="O87" s="624"/>
      <c r="P87" s="624"/>
      <c r="Q87" s="624"/>
      <c r="R87" s="624"/>
      <c r="S87" s="624"/>
      <c r="T87" s="624"/>
      <c r="U87" s="624"/>
      <c r="V87" s="624"/>
      <c r="W87" s="624"/>
      <c r="X87" s="624"/>
      <c r="Y87" s="624"/>
      <c r="Z87" s="624"/>
      <c r="AA87" s="624"/>
    </row>
    <row r="88" spans="1:27" s="16" customFormat="1" ht="15.75" thickBot="1" x14ac:dyDescent="0.3">
      <c r="A88" s="635"/>
      <c r="B88" s="635"/>
      <c r="C88" s="635"/>
      <c r="D88" s="635"/>
      <c r="E88" s="635"/>
      <c r="F88" s="635"/>
      <c r="G88" s="635"/>
      <c r="H88" s="635"/>
      <c r="J88" s="635"/>
      <c r="K88" s="635"/>
      <c r="L88" s="635"/>
      <c r="M88" s="635"/>
      <c r="N88" s="635"/>
      <c r="O88" s="635"/>
      <c r="P88" s="635"/>
      <c r="Q88" s="635"/>
    </row>
    <row r="89" spans="1:27" s="16" customFormat="1" ht="15.75" thickBot="1" x14ac:dyDescent="0.3">
      <c r="A89" s="625" t="s">
        <v>174</v>
      </c>
      <c r="B89" s="626"/>
      <c r="C89" s="626"/>
      <c r="D89" s="626"/>
      <c r="E89" s="626"/>
      <c r="F89" s="626"/>
      <c r="G89" s="626"/>
      <c r="H89" s="627"/>
      <c r="J89" s="129"/>
      <c r="K89" s="130"/>
      <c r="L89" s="130"/>
      <c r="M89" s="130"/>
      <c r="N89" s="571"/>
      <c r="O89" s="571"/>
      <c r="P89" s="320"/>
      <c r="Q89" s="320"/>
    </row>
    <row r="90" spans="1:27" s="16" customFormat="1" ht="25.5" x14ac:dyDescent="0.25">
      <c r="A90" s="101" t="s">
        <v>13</v>
      </c>
      <c r="B90" s="102" t="s">
        <v>45</v>
      </c>
      <c r="C90" s="65" t="s">
        <v>107</v>
      </c>
      <c r="D90" s="65" t="s">
        <v>108</v>
      </c>
      <c r="E90" s="569" t="s">
        <v>15</v>
      </c>
      <c r="F90" s="570"/>
      <c r="G90" s="299" t="s">
        <v>0</v>
      </c>
      <c r="H90" s="299" t="s">
        <v>1</v>
      </c>
      <c r="J90" s="10"/>
      <c r="K90" s="334"/>
      <c r="L90" s="334"/>
      <c r="M90" s="334"/>
      <c r="N90" s="334"/>
      <c r="O90" s="11"/>
      <c r="P90" s="335"/>
      <c r="Q90" s="336"/>
    </row>
    <row r="91" spans="1:27" s="16" customFormat="1" x14ac:dyDescent="0.25">
      <c r="A91" s="6" t="s">
        <v>27</v>
      </c>
      <c r="B91" s="5">
        <v>40</v>
      </c>
      <c r="C91" s="523">
        <v>1.55</v>
      </c>
      <c r="D91" s="522">
        <f>B91*C91</f>
        <v>62</v>
      </c>
      <c r="E91" s="307">
        <f>D91*$Q$31/1000</f>
        <v>0.62</v>
      </c>
      <c r="F91" s="5" t="s">
        <v>25</v>
      </c>
      <c r="G91" s="308"/>
      <c r="H91" s="311">
        <f>D91*G91/1000</f>
        <v>0</v>
      </c>
      <c r="J91" s="10"/>
      <c r="K91" s="334"/>
      <c r="L91" s="334"/>
      <c r="M91" s="334"/>
      <c r="N91" s="334"/>
      <c r="O91" s="11"/>
      <c r="P91" s="335"/>
      <c r="Q91" s="336"/>
    </row>
    <row r="92" spans="1:27" s="16" customFormat="1" x14ac:dyDescent="0.25">
      <c r="A92" s="6" t="s">
        <v>157</v>
      </c>
      <c r="B92" s="5">
        <v>10</v>
      </c>
      <c r="C92" s="523">
        <v>1</v>
      </c>
      <c r="D92" s="522">
        <f t="shared" ref="D92" si="12">B92*C92</f>
        <v>10</v>
      </c>
      <c r="E92" s="307">
        <f>D92*$Q$31/400</f>
        <v>0.25</v>
      </c>
      <c r="F92" s="5" t="s">
        <v>161</v>
      </c>
      <c r="G92" s="337"/>
      <c r="H92" s="311">
        <f>D92*G92/400</f>
        <v>0</v>
      </c>
      <c r="J92" s="10"/>
      <c r="K92" s="334"/>
      <c r="L92" s="334"/>
      <c r="M92" s="334"/>
      <c r="N92" s="334"/>
      <c r="O92" s="11"/>
      <c r="P92" s="335"/>
      <c r="Q92" s="336"/>
    </row>
    <row r="93" spans="1:27" s="16" customFormat="1" x14ac:dyDescent="0.25">
      <c r="A93" s="13"/>
      <c r="B93" s="11"/>
      <c r="C93" s="11"/>
      <c r="D93" s="11"/>
      <c r="E93" s="11"/>
      <c r="F93" s="11"/>
      <c r="G93" s="338"/>
      <c r="H93" s="9">
        <f>SUM(H91:H92)</f>
        <v>0</v>
      </c>
      <c r="Q93" s="225"/>
    </row>
    <row r="94" spans="1:27" s="16" customFormat="1" x14ac:dyDescent="0.25">
      <c r="A94" s="13"/>
      <c r="B94" s="11"/>
      <c r="C94" s="11"/>
      <c r="D94" s="11"/>
      <c r="E94" s="11"/>
      <c r="F94" s="11"/>
      <c r="G94" s="338"/>
      <c r="H94" s="336"/>
      <c r="P94" s="339"/>
    </row>
    <row r="95" spans="1:27" x14ac:dyDescent="0.25">
      <c r="A95" s="624" t="s">
        <v>60</v>
      </c>
      <c r="B95" s="624"/>
      <c r="C95" s="624"/>
      <c r="D95" s="624"/>
      <c r="E95" s="624"/>
      <c r="F95" s="624"/>
      <c r="G95" s="624"/>
      <c r="H95" s="624"/>
      <c r="I95" s="624"/>
      <c r="J95" s="624"/>
      <c r="K95" s="624"/>
      <c r="L95" s="624"/>
      <c r="M95" s="624"/>
      <c r="N95" s="624"/>
      <c r="O95" s="624"/>
      <c r="P95" s="624"/>
      <c r="Q95" s="624"/>
      <c r="R95" s="624"/>
      <c r="S95" s="624"/>
      <c r="T95" s="624"/>
      <c r="U95" s="624"/>
      <c r="V95" s="624"/>
      <c r="W95" s="624"/>
      <c r="X95" s="624"/>
      <c r="Y95" s="624"/>
      <c r="Z95" s="624"/>
      <c r="AA95" s="624"/>
    </row>
    <row r="96" spans="1:27" ht="15.75" thickBot="1" x14ac:dyDescent="0.3"/>
    <row r="97" spans="1:26" ht="15.75" thickBot="1" x14ac:dyDescent="0.3">
      <c r="A97" s="625" t="s">
        <v>175</v>
      </c>
      <c r="B97" s="626"/>
      <c r="C97" s="626"/>
      <c r="D97" s="626"/>
      <c r="E97" s="626"/>
      <c r="F97" s="626"/>
      <c r="G97" s="626"/>
      <c r="H97" s="627"/>
      <c r="J97" s="625" t="s">
        <v>61</v>
      </c>
      <c r="K97" s="626"/>
      <c r="L97" s="626"/>
      <c r="M97" s="626"/>
      <c r="N97" s="626"/>
      <c r="O97" s="626"/>
      <c r="P97" s="626"/>
      <c r="Q97" s="627"/>
      <c r="S97" s="625" t="s">
        <v>104</v>
      </c>
      <c r="T97" s="626"/>
      <c r="U97" s="626"/>
      <c r="V97" s="626"/>
      <c r="W97" s="626"/>
      <c r="X97" s="626"/>
      <c r="Y97" s="626"/>
      <c r="Z97" s="627"/>
    </row>
    <row r="98" spans="1:26" ht="38.25" x14ac:dyDescent="0.25">
      <c r="A98" s="102" t="s">
        <v>13</v>
      </c>
      <c r="B98" s="102" t="s">
        <v>14</v>
      </c>
      <c r="C98" s="65" t="s">
        <v>107</v>
      </c>
      <c r="D98" s="65" t="s">
        <v>108</v>
      </c>
      <c r="E98" s="579" t="s">
        <v>15</v>
      </c>
      <c r="F98" s="580"/>
      <c r="G98" s="101" t="s">
        <v>0</v>
      </c>
      <c r="H98" s="101" t="s">
        <v>1</v>
      </c>
      <c r="J98" s="101" t="s">
        <v>13</v>
      </c>
      <c r="K98" s="102" t="s">
        <v>170</v>
      </c>
      <c r="L98" s="65" t="s">
        <v>107</v>
      </c>
      <c r="M98" s="65" t="s">
        <v>108</v>
      </c>
      <c r="N98" s="569" t="s">
        <v>15</v>
      </c>
      <c r="O98" s="570"/>
      <c r="P98" s="299" t="s">
        <v>0</v>
      </c>
      <c r="Q98" s="299" t="s">
        <v>1</v>
      </c>
      <c r="S98" s="101" t="s">
        <v>13</v>
      </c>
      <c r="T98" s="102" t="s">
        <v>45</v>
      </c>
      <c r="U98" s="65" t="s">
        <v>107</v>
      </c>
      <c r="V98" s="65" t="s">
        <v>108</v>
      </c>
      <c r="W98" s="579" t="s">
        <v>15</v>
      </c>
      <c r="X98" s="580"/>
      <c r="Y98" s="299" t="s">
        <v>0</v>
      </c>
      <c r="Z98" s="299" t="s">
        <v>1</v>
      </c>
    </row>
    <row r="99" spans="1:26" x14ac:dyDescent="0.25">
      <c r="A99" s="7" t="s">
        <v>66</v>
      </c>
      <c r="B99" s="306">
        <v>15</v>
      </c>
      <c r="C99" s="538">
        <v>1.21</v>
      </c>
      <c r="D99" s="520">
        <f>B99*C99</f>
        <v>18.149999999999999</v>
      </c>
      <c r="E99" s="307">
        <f>D99*$Q$31/1000</f>
        <v>0.18149999999999999</v>
      </c>
      <c r="F99" s="211" t="s">
        <v>16</v>
      </c>
      <c r="G99" s="311"/>
      <c r="H99" s="311">
        <f>D99*G99/1000</f>
        <v>0</v>
      </c>
      <c r="J99" s="7" t="s">
        <v>63</v>
      </c>
      <c r="K99" s="5">
        <v>20</v>
      </c>
      <c r="L99" s="523">
        <v>1</v>
      </c>
      <c r="M99" s="522">
        <f>K99*L99</f>
        <v>20</v>
      </c>
      <c r="N99" s="389">
        <f>M99*$Q$31/1000</f>
        <v>0.2</v>
      </c>
      <c r="O99" s="5" t="s">
        <v>25</v>
      </c>
      <c r="P99" s="308"/>
      <c r="Q99" s="201">
        <f>M99*P99/1000</f>
        <v>0</v>
      </c>
      <c r="S99" s="3" t="s">
        <v>41</v>
      </c>
      <c r="T99" s="306">
        <v>15</v>
      </c>
      <c r="U99" s="538">
        <v>1</v>
      </c>
      <c r="V99" s="520">
        <f>T99*U99</f>
        <v>15</v>
      </c>
      <c r="W99" s="307">
        <f>V99*$Q$31/1000</f>
        <v>0.15</v>
      </c>
      <c r="X99" s="309" t="s">
        <v>25</v>
      </c>
      <c r="Y99" s="308"/>
      <c r="Z99" s="201">
        <f>V99*Y99/1000</f>
        <v>0</v>
      </c>
    </row>
    <row r="100" spans="1:26" x14ac:dyDescent="0.25">
      <c r="A100" s="7" t="s">
        <v>2</v>
      </c>
      <c r="B100" s="310">
        <v>4</v>
      </c>
      <c r="C100" s="538">
        <v>1.08</v>
      </c>
      <c r="D100" s="520">
        <f t="shared" ref="D100:D109" si="13">B100*C100</f>
        <v>4.32</v>
      </c>
      <c r="E100" s="307">
        <f t="shared" ref="E100:E109" si="14">D100*$Q$31/1000</f>
        <v>4.3200000000000002E-2</v>
      </c>
      <c r="F100" s="211" t="s">
        <v>16</v>
      </c>
      <c r="G100" s="311"/>
      <c r="H100" s="311">
        <f t="shared" ref="H100:H109" si="15">D100*G100/1000</f>
        <v>0</v>
      </c>
      <c r="J100" s="6" t="s">
        <v>5</v>
      </c>
      <c r="K100" s="5">
        <v>0.5</v>
      </c>
      <c r="L100" s="523">
        <v>1</v>
      </c>
      <c r="M100" s="522">
        <f t="shared" ref="M100:M103" si="16">K100*L100</f>
        <v>0.5</v>
      </c>
      <c r="N100" s="389">
        <f t="shared" ref="N100:N102" si="17">M100*$Q$31/1000</f>
        <v>5.0000000000000001E-3</v>
      </c>
      <c r="O100" s="5" t="s">
        <v>25</v>
      </c>
      <c r="P100" s="308"/>
      <c r="Q100" s="201">
        <f t="shared" ref="Q100:Q102" si="18">M100*P100/1000</f>
        <v>0</v>
      </c>
      <c r="S100" s="104" t="s">
        <v>52</v>
      </c>
      <c r="T100" s="96">
        <v>10</v>
      </c>
      <c r="U100" s="540">
        <v>1.1599999999999999</v>
      </c>
      <c r="V100" s="520">
        <f t="shared" ref="V100:V107" si="19">T100*U100</f>
        <v>11.6</v>
      </c>
      <c r="W100" s="307">
        <f t="shared" ref="W100:W107" si="20">V100*$Q$31/1000</f>
        <v>0.11600000000000001</v>
      </c>
      <c r="X100" s="91" t="s">
        <v>25</v>
      </c>
      <c r="Y100" s="106"/>
      <c r="Z100" s="201">
        <f t="shared" ref="Z100:Z107" si="21">V100*Y100/1000</f>
        <v>0</v>
      </c>
    </row>
    <row r="101" spans="1:26" x14ac:dyDescent="0.25">
      <c r="A101" s="6" t="s">
        <v>9</v>
      </c>
      <c r="B101" s="309">
        <v>1</v>
      </c>
      <c r="C101" s="523">
        <v>1.43</v>
      </c>
      <c r="D101" s="520">
        <f t="shared" si="13"/>
        <v>1.43</v>
      </c>
      <c r="E101" s="307">
        <f t="shared" si="14"/>
        <v>1.4299999999999998E-2</v>
      </c>
      <c r="F101" s="5" t="s">
        <v>25</v>
      </c>
      <c r="G101" s="311"/>
      <c r="H101" s="311">
        <f t="shared" si="15"/>
        <v>0</v>
      </c>
      <c r="J101" s="6" t="s">
        <v>3</v>
      </c>
      <c r="K101" s="5">
        <v>0.4</v>
      </c>
      <c r="L101" s="523">
        <v>1.18</v>
      </c>
      <c r="M101" s="522">
        <f t="shared" si="16"/>
        <v>0.47199999999999998</v>
      </c>
      <c r="N101" s="389">
        <f t="shared" si="17"/>
        <v>4.7199999999999994E-3</v>
      </c>
      <c r="O101" s="5" t="s">
        <v>25</v>
      </c>
      <c r="P101" s="308"/>
      <c r="Q101" s="201">
        <f t="shared" si="18"/>
        <v>0</v>
      </c>
      <c r="S101" s="3" t="s">
        <v>51</v>
      </c>
      <c r="T101" s="306">
        <v>15</v>
      </c>
      <c r="U101" s="538">
        <v>1.35</v>
      </c>
      <c r="V101" s="520">
        <f t="shared" si="19"/>
        <v>20.25</v>
      </c>
      <c r="W101" s="307">
        <f t="shared" si="20"/>
        <v>0.20250000000000001</v>
      </c>
      <c r="X101" s="309" t="s">
        <v>25</v>
      </c>
      <c r="Y101" s="311"/>
      <c r="Z101" s="201">
        <f t="shared" si="21"/>
        <v>0</v>
      </c>
    </row>
    <row r="102" spans="1:26" x14ac:dyDescent="0.25">
      <c r="A102" s="3" t="s">
        <v>12</v>
      </c>
      <c r="B102" s="310">
        <v>0.4</v>
      </c>
      <c r="C102" s="538">
        <v>1.35</v>
      </c>
      <c r="D102" s="520">
        <f t="shared" si="13"/>
        <v>0.54</v>
      </c>
      <c r="E102" s="307">
        <f>D102*$Q$31/30</f>
        <v>0.18000000000000002</v>
      </c>
      <c r="F102" s="309" t="s">
        <v>172</v>
      </c>
      <c r="G102" s="166"/>
      <c r="H102" s="311">
        <f>D102*G102/30</f>
        <v>0</v>
      </c>
      <c r="J102" s="6" t="s">
        <v>2</v>
      </c>
      <c r="K102" s="5">
        <v>4</v>
      </c>
      <c r="L102" s="523">
        <v>1.08</v>
      </c>
      <c r="M102" s="522">
        <f t="shared" si="16"/>
        <v>4.32</v>
      </c>
      <c r="N102" s="389">
        <f t="shared" si="17"/>
        <v>4.3200000000000002E-2</v>
      </c>
      <c r="O102" s="5" t="s">
        <v>25</v>
      </c>
      <c r="P102" s="308"/>
      <c r="Q102" s="201">
        <f t="shared" si="18"/>
        <v>0</v>
      </c>
      <c r="S102" s="3" t="s">
        <v>2</v>
      </c>
      <c r="T102" s="306">
        <v>4</v>
      </c>
      <c r="U102" s="538">
        <v>1.08</v>
      </c>
      <c r="V102" s="520">
        <f t="shared" si="19"/>
        <v>4.32</v>
      </c>
      <c r="W102" s="307">
        <f t="shared" si="20"/>
        <v>4.3200000000000002E-2</v>
      </c>
      <c r="X102" s="309" t="s">
        <v>25</v>
      </c>
      <c r="Y102" s="311"/>
      <c r="Z102" s="201">
        <f t="shared" si="21"/>
        <v>0</v>
      </c>
    </row>
    <row r="103" spans="1:26" x14ac:dyDescent="0.25">
      <c r="A103" s="7" t="s">
        <v>3</v>
      </c>
      <c r="B103" s="310">
        <v>0.4</v>
      </c>
      <c r="C103" s="538">
        <v>1.18</v>
      </c>
      <c r="D103" s="520">
        <f t="shared" si="13"/>
        <v>0.47199999999999998</v>
      </c>
      <c r="E103" s="307">
        <f t="shared" si="14"/>
        <v>4.7199999999999994E-3</v>
      </c>
      <c r="F103" s="328" t="s">
        <v>16</v>
      </c>
      <c r="G103" s="340"/>
      <c r="H103" s="311">
        <f t="shared" si="15"/>
        <v>0</v>
      </c>
      <c r="J103" s="6" t="s">
        <v>127</v>
      </c>
      <c r="K103" s="5">
        <v>1</v>
      </c>
      <c r="L103" s="523">
        <v>1</v>
      </c>
      <c r="M103" s="522">
        <f t="shared" si="16"/>
        <v>1</v>
      </c>
      <c r="N103" s="389">
        <f>M103*$Q$31/900</f>
        <v>1.1111111111111112E-2</v>
      </c>
      <c r="O103" s="5" t="s">
        <v>40</v>
      </c>
      <c r="P103" s="308"/>
      <c r="Q103" s="201">
        <f>M103*P103/900</f>
        <v>0</v>
      </c>
      <c r="S103" s="3" t="s">
        <v>3</v>
      </c>
      <c r="T103" s="306">
        <v>0.4</v>
      </c>
      <c r="U103" s="538">
        <v>1.18</v>
      </c>
      <c r="V103" s="520">
        <f t="shared" si="19"/>
        <v>0.47199999999999998</v>
      </c>
      <c r="W103" s="307">
        <f t="shared" si="20"/>
        <v>4.7199999999999994E-3</v>
      </c>
      <c r="X103" s="309" t="s">
        <v>25</v>
      </c>
      <c r="Y103" s="308"/>
      <c r="Z103" s="201">
        <f t="shared" si="21"/>
        <v>0</v>
      </c>
    </row>
    <row r="104" spans="1:26" x14ac:dyDescent="0.25">
      <c r="A104" s="7" t="s">
        <v>4</v>
      </c>
      <c r="B104" s="310">
        <v>2</v>
      </c>
      <c r="C104" s="538">
        <v>1</v>
      </c>
      <c r="D104" s="520">
        <f t="shared" si="13"/>
        <v>2</v>
      </c>
      <c r="E104" s="307">
        <f>D104*$Q$31/900</f>
        <v>2.2222222222222223E-2</v>
      </c>
      <c r="F104" s="328" t="s">
        <v>131</v>
      </c>
      <c r="G104" s="340"/>
      <c r="H104" s="311">
        <f>D104*G104/900</f>
        <v>0</v>
      </c>
      <c r="Q104" s="206">
        <f>SUM(Q99:Q103)</f>
        <v>0</v>
      </c>
      <c r="S104" s="3" t="s">
        <v>127</v>
      </c>
      <c r="T104" s="306">
        <v>1</v>
      </c>
      <c r="U104" s="538">
        <v>1</v>
      </c>
      <c r="V104" s="520">
        <f t="shared" si="19"/>
        <v>1</v>
      </c>
      <c r="W104" s="307">
        <f>V104*$Q$31/900</f>
        <v>1.1111111111111112E-2</v>
      </c>
      <c r="X104" s="5" t="s">
        <v>40</v>
      </c>
      <c r="Y104" s="311"/>
      <c r="Z104" s="201">
        <f>V104*Y104/900</f>
        <v>0</v>
      </c>
    </row>
    <row r="105" spans="1:26" x14ac:dyDescent="0.25">
      <c r="A105" s="7" t="s">
        <v>5</v>
      </c>
      <c r="B105" s="310">
        <v>0.5</v>
      </c>
      <c r="C105" s="538">
        <v>1</v>
      </c>
      <c r="D105" s="520">
        <f t="shared" si="13"/>
        <v>0.5</v>
      </c>
      <c r="E105" s="307">
        <f t="shared" si="14"/>
        <v>5.0000000000000001E-3</v>
      </c>
      <c r="F105" s="211" t="s">
        <v>16</v>
      </c>
      <c r="G105" s="340"/>
      <c r="H105" s="311">
        <f t="shared" si="15"/>
        <v>0</v>
      </c>
      <c r="S105" s="104" t="s">
        <v>10</v>
      </c>
      <c r="T105" s="96">
        <v>5</v>
      </c>
      <c r="U105" s="540">
        <v>1.33</v>
      </c>
      <c r="V105" s="520">
        <f t="shared" si="19"/>
        <v>6.65</v>
      </c>
      <c r="W105" s="307">
        <f t="shared" si="20"/>
        <v>6.6500000000000004E-2</v>
      </c>
      <c r="X105" s="91" t="s">
        <v>25</v>
      </c>
      <c r="Y105" s="108"/>
      <c r="Z105" s="201">
        <f t="shared" si="21"/>
        <v>0</v>
      </c>
    </row>
    <row r="106" spans="1:26" x14ac:dyDescent="0.25">
      <c r="A106" s="7" t="s">
        <v>47</v>
      </c>
      <c r="B106" s="310">
        <v>0.7</v>
      </c>
      <c r="C106" s="538">
        <v>1</v>
      </c>
      <c r="D106" s="520">
        <f t="shared" si="13"/>
        <v>0.7</v>
      </c>
      <c r="E106" s="307">
        <f>D106*$Q$31/100</f>
        <v>7.0000000000000007E-2</v>
      </c>
      <c r="F106" s="211" t="s">
        <v>132</v>
      </c>
      <c r="G106" s="340"/>
      <c r="H106" s="311">
        <f>D106*G106/100</f>
        <v>0</v>
      </c>
      <c r="K106" s="341"/>
      <c r="L106" s="341"/>
      <c r="M106" s="341"/>
      <c r="N106" s="341"/>
      <c r="O106" s="341"/>
      <c r="P106" s="341"/>
      <c r="Q106" s="341"/>
      <c r="R106" s="341"/>
      <c r="S106" s="3" t="s">
        <v>12</v>
      </c>
      <c r="T106" s="306">
        <v>0.4</v>
      </c>
      <c r="U106" s="538">
        <v>1.35</v>
      </c>
      <c r="V106" s="520">
        <f t="shared" si="19"/>
        <v>0.54</v>
      </c>
      <c r="W106" s="307">
        <f>V106*$Q$31/30</f>
        <v>0.18000000000000002</v>
      </c>
      <c r="X106" s="309" t="s">
        <v>39</v>
      </c>
      <c r="Y106" s="311"/>
      <c r="Z106" s="201">
        <f>V106*Y106/30</f>
        <v>0</v>
      </c>
    </row>
    <row r="107" spans="1:26" x14ac:dyDescent="0.25">
      <c r="A107" s="7" t="s">
        <v>10</v>
      </c>
      <c r="B107" s="306">
        <v>5</v>
      </c>
      <c r="C107" s="538">
        <v>1.33</v>
      </c>
      <c r="D107" s="520">
        <f t="shared" si="13"/>
        <v>6.65</v>
      </c>
      <c r="E107" s="307">
        <f t="shared" si="14"/>
        <v>6.6500000000000004E-2</v>
      </c>
      <c r="F107" s="211" t="s">
        <v>16</v>
      </c>
      <c r="G107" s="340"/>
      <c r="H107" s="311">
        <f t="shared" si="15"/>
        <v>0</v>
      </c>
      <c r="J107" s="342"/>
      <c r="K107" s="633"/>
      <c r="L107" s="633"/>
      <c r="M107" s="633"/>
      <c r="N107" s="633"/>
      <c r="O107" s="633"/>
      <c r="P107" s="633"/>
      <c r="Q107" s="633"/>
      <c r="R107" s="633"/>
      <c r="S107" s="3" t="s">
        <v>5</v>
      </c>
      <c r="T107" s="306">
        <v>0.5</v>
      </c>
      <c r="U107" s="538">
        <v>1</v>
      </c>
      <c r="V107" s="520">
        <f t="shared" si="19"/>
        <v>0.5</v>
      </c>
      <c r="W107" s="307">
        <f t="shared" si="20"/>
        <v>5.0000000000000001E-3</v>
      </c>
      <c r="X107" s="309" t="s">
        <v>25</v>
      </c>
      <c r="Y107" s="311"/>
      <c r="Z107" s="201">
        <f t="shared" si="21"/>
        <v>0</v>
      </c>
    </row>
    <row r="108" spans="1:26" x14ac:dyDescent="0.25">
      <c r="A108" s="7" t="s">
        <v>11</v>
      </c>
      <c r="B108" s="306">
        <v>15</v>
      </c>
      <c r="C108" s="538">
        <v>1.35</v>
      </c>
      <c r="D108" s="520">
        <f t="shared" si="13"/>
        <v>20.25</v>
      </c>
      <c r="E108" s="307">
        <f t="shared" si="14"/>
        <v>0.20250000000000001</v>
      </c>
      <c r="F108" s="211" t="s">
        <v>16</v>
      </c>
      <c r="G108" s="340"/>
      <c r="H108" s="311">
        <f t="shared" si="15"/>
        <v>0</v>
      </c>
      <c r="J108" s="343"/>
      <c r="K108" s="344"/>
      <c r="L108" s="489"/>
      <c r="M108" s="489"/>
      <c r="N108" s="345"/>
      <c r="O108" s="629"/>
      <c r="P108" s="629"/>
      <c r="Q108" s="347"/>
      <c r="R108" s="347"/>
      <c r="Z108" s="206">
        <f>SUM(Z99:Z107)</f>
        <v>0</v>
      </c>
    </row>
    <row r="109" spans="1:26" x14ac:dyDescent="0.25">
      <c r="A109" s="7" t="s">
        <v>52</v>
      </c>
      <c r="B109" s="306">
        <v>10</v>
      </c>
      <c r="C109" s="538">
        <v>1.1599999999999999</v>
      </c>
      <c r="D109" s="520">
        <f t="shared" si="13"/>
        <v>11.6</v>
      </c>
      <c r="E109" s="307">
        <f t="shared" si="14"/>
        <v>0.11600000000000001</v>
      </c>
      <c r="F109" s="211" t="s">
        <v>16</v>
      </c>
      <c r="G109" s="340"/>
      <c r="H109" s="311">
        <f t="shared" si="15"/>
        <v>0</v>
      </c>
      <c r="J109" s="16"/>
      <c r="K109" s="348"/>
      <c r="L109" s="348"/>
      <c r="M109" s="348"/>
      <c r="N109" s="349"/>
      <c r="O109" s="350"/>
      <c r="P109" s="317"/>
      <c r="Q109" s="351"/>
      <c r="R109" s="352"/>
      <c r="Z109" s="207"/>
    </row>
    <row r="110" spans="1:26" x14ac:dyDescent="0.25">
      <c r="H110" s="206">
        <f>SUM(H99:H109)</f>
        <v>0</v>
      </c>
      <c r="I110" s="16"/>
      <c r="J110" s="11"/>
      <c r="K110" s="353"/>
      <c r="L110" s="353"/>
      <c r="M110" s="353"/>
      <c r="N110" s="349"/>
      <c r="O110" s="317"/>
      <c r="P110" s="317"/>
      <c r="Q110" s="341"/>
      <c r="R110" s="354"/>
    </row>
    <row r="111" spans="1:26" x14ac:dyDescent="0.25">
      <c r="H111" s="207"/>
      <c r="I111" s="16"/>
      <c r="J111" s="2"/>
      <c r="K111" s="349"/>
      <c r="L111" s="349"/>
      <c r="M111" s="349"/>
      <c r="N111" s="355"/>
      <c r="O111" s="317"/>
      <c r="P111" s="356"/>
      <c r="Q111" s="357"/>
      <c r="R111" s="341"/>
    </row>
    <row r="112" spans="1:26" x14ac:dyDescent="0.25">
      <c r="A112" s="16"/>
      <c r="B112" s="16"/>
      <c r="C112" s="16"/>
      <c r="D112" s="16"/>
      <c r="E112" s="16"/>
      <c r="F112" s="16"/>
      <c r="G112" s="16"/>
      <c r="H112" s="250"/>
    </row>
    <row r="113" spans="1:27" x14ac:dyDescent="0.25">
      <c r="A113" s="624" t="s">
        <v>145</v>
      </c>
      <c r="B113" s="624"/>
      <c r="C113" s="624"/>
      <c r="D113" s="624"/>
      <c r="E113" s="624"/>
      <c r="F113" s="624"/>
      <c r="G113" s="624"/>
      <c r="H113" s="624"/>
      <c r="I113" s="624"/>
      <c r="J113" s="624"/>
      <c r="K113" s="624"/>
      <c r="L113" s="624"/>
      <c r="M113" s="624"/>
      <c r="N113" s="624"/>
      <c r="O113" s="624"/>
      <c r="P113" s="624"/>
      <c r="Q113" s="624"/>
      <c r="R113" s="624"/>
      <c r="S113" s="624"/>
      <c r="T113" s="624"/>
      <c r="U113" s="624"/>
      <c r="V113" s="624"/>
      <c r="W113" s="624"/>
      <c r="X113" s="624"/>
      <c r="Y113" s="624"/>
      <c r="Z113" s="624"/>
      <c r="AA113" s="624"/>
    </row>
    <row r="114" spans="1:27" ht="15.75" thickBot="1" x14ac:dyDescent="0.3"/>
    <row r="115" spans="1:27" s="16" customFormat="1" ht="15.75" thickBot="1" x14ac:dyDescent="0.3">
      <c r="A115" s="625" t="s">
        <v>176</v>
      </c>
      <c r="B115" s="626"/>
      <c r="C115" s="626"/>
      <c r="D115" s="626"/>
      <c r="E115" s="626"/>
      <c r="F115" s="626"/>
      <c r="G115" s="626"/>
      <c r="H115" s="627"/>
      <c r="I115" s="237"/>
      <c r="J115" s="571"/>
      <c r="K115" s="571"/>
      <c r="L115" s="571"/>
      <c r="M115" s="571"/>
      <c r="N115" s="571"/>
      <c r="O115" s="571"/>
      <c r="P115" s="571"/>
      <c r="Q115" s="571"/>
    </row>
    <row r="116" spans="1:27" s="16" customFormat="1" ht="25.5" x14ac:dyDescent="0.25">
      <c r="A116" s="101" t="s">
        <v>13</v>
      </c>
      <c r="B116" s="102" t="s">
        <v>45</v>
      </c>
      <c r="C116" s="65" t="s">
        <v>107</v>
      </c>
      <c r="D116" s="65" t="s">
        <v>108</v>
      </c>
      <c r="E116" s="569" t="s">
        <v>15</v>
      </c>
      <c r="F116" s="570"/>
      <c r="G116" s="101" t="s">
        <v>0</v>
      </c>
      <c r="H116" s="101" t="s">
        <v>1</v>
      </c>
      <c r="I116" s="237"/>
      <c r="J116" s="358"/>
      <c r="K116" s="358"/>
      <c r="L116" s="358"/>
      <c r="M116" s="358"/>
      <c r="N116" s="635"/>
      <c r="O116" s="635"/>
      <c r="P116" s="320"/>
      <c r="Q116" s="320"/>
    </row>
    <row r="117" spans="1:27" s="16" customFormat="1" x14ac:dyDescent="0.25">
      <c r="A117" s="6" t="s">
        <v>31</v>
      </c>
      <c r="B117" s="5">
        <v>30</v>
      </c>
      <c r="C117" s="542">
        <v>1.6</v>
      </c>
      <c r="D117" s="527">
        <f>B117*C117</f>
        <v>48</v>
      </c>
      <c r="E117" s="1">
        <f>D117*$Q$31/1000</f>
        <v>0.48</v>
      </c>
      <c r="F117" s="5" t="s">
        <v>25</v>
      </c>
      <c r="G117" s="311"/>
      <c r="H117" s="311">
        <f>D117*G117/1000</f>
        <v>0</v>
      </c>
      <c r="I117" s="237"/>
      <c r="J117" s="2"/>
      <c r="K117" s="11"/>
      <c r="L117" s="11"/>
      <c r="M117" s="11"/>
      <c r="N117" s="12"/>
      <c r="O117" s="11"/>
      <c r="P117" s="234"/>
      <c r="Q117" s="359"/>
    </row>
    <row r="118" spans="1:27" s="16" customFormat="1" x14ac:dyDescent="0.25">
      <c r="A118" s="6" t="s">
        <v>177</v>
      </c>
      <c r="B118" s="5">
        <v>50</v>
      </c>
      <c r="C118" s="542">
        <v>1.56</v>
      </c>
      <c r="D118" s="527">
        <f>B118*C118</f>
        <v>78</v>
      </c>
      <c r="E118" s="1">
        <f>D118*$Q$31/1000</f>
        <v>0.78</v>
      </c>
      <c r="F118" s="5" t="s">
        <v>25</v>
      </c>
      <c r="G118" s="311"/>
      <c r="H118" s="311">
        <f>B118*G118/1000</f>
        <v>0</v>
      </c>
      <c r="I118" s="237"/>
      <c r="J118" s="237"/>
      <c r="K118" s="237"/>
      <c r="L118" s="237"/>
      <c r="M118" s="237"/>
      <c r="N118" s="237"/>
      <c r="O118" s="237"/>
      <c r="P118" s="213"/>
      <c r="Q118" s="360"/>
    </row>
    <row r="119" spans="1:27" s="16" customFormat="1" x14ac:dyDescent="0.25">
      <c r="A119"/>
      <c r="B119"/>
      <c r="C119"/>
      <c r="D119"/>
      <c r="E119" s="330"/>
      <c r="F119"/>
      <c r="G119"/>
      <c r="H119" s="206">
        <f>SUM(H117:H118)</f>
        <v>0</v>
      </c>
      <c r="I119" s="237"/>
      <c r="J119" s="237"/>
      <c r="K119" s="237"/>
      <c r="L119" s="237"/>
      <c r="M119" s="237"/>
      <c r="N119" s="237"/>
      <c r="O119" s="237"/>
      <c r="P119" s="237"/>
      <c r="Q119" s="237"/>
    </row>
    <row r="120" spans="1:27" s="16" customFormat="1" x14ac:dyDescent="0.25">
      <c r="A120" s="13"/>
      <c r="B120" s="12"/>
      <c r="C120" s="12"/>
      <c r="D120" s="12"/>
      <c r="E120" s="158"/>
      <c r="F120" s="361"/>
      <c r="G120" s="41"/>
      <c r="H120" s="207"/>
      <c r="I120" s="237"/>
      <c r="J120" s="237"/>
      <c r="K120" s="237"/>
      <c r="L120" s="237"/>
      <c r="M120" s="237"/>
      <c r="N120" s="237"/>
      <c r="O120" s="237"/>
      <c r="P120" s="237"/>
      <c r="Q120" s="237"/>
    </row>
    <row r="121" spans="1:27" s="16" customFormat="1" x14ac:dyDescent="0.25">
      <c r="A121" s="624" t="s">
        <v>62</v>
      </c>
      <c r="B121" s="624"/>
      <c r="C121" s="624"/>
      <c r="D121" s="624"/>
      <c r="E121" s="624"/>
      <c r="F121" s="624"/>
      <c r="G121" s="624"/>
      <c r="H121" s="624"/>
      <c r="I121" s="624"/>
      <c r="J121" s="624"/>
      <c r="K121" s="624"/>
      <c r="L121" s="624"/>
      <c r="M121" s="624"/>
      <c r="N121" s="624"/>
      <c r="O121" s="624"/>
      <c r="P121" s="624"/>
      <c r="Q121" s="624"/>
      <c r="R121" s="624"/>
      <c r="S121" s="624"/>
      <c r="T121" s="624"/>
      <c r="U121" s="624"/>
      <c r="V121" s="624"/>
      <c r="W121" s="624"/>
      <c r="X121" s="624"/>
      <c r="Y121" s="624"/>
      <c r="Z121" s="624"/>
      <c r="AA121" s="624"/>
    </row>
    <row r="122" spans="1:27" s="16" customFormat="1" ht="15.75" thickBot="1" x14ac:dyDescent="0.3">
      <c r="A122"/>
      <c r="B122"/>
      <c r="C122"/>
      <c r="D122"/>
      <c r="E122"/>
      <c r="F122"/>
      <c r="G122"/>
      <c r="H122"/>
      <c r="I122" s="298"/>
      <c r="J122" s="298"/>
      <c r="K122" s="298"/>
      <c r="L122" s="488"/>
      <c r="M122" s="488"/>
      <c r="N122" s="298"/>
      <c r="O122" s="298"/>
      <c r="P122" s="298"/>
      <c r="Q122" s="298"/>
    </row>
    <row r="123" spans="1:27" s="16" customFormat="1" ht="15.75" thickBot="1" x14ac:dyDescent="0.3">
      <c r="A123" s="625" t="s">
        <v>106</v>
      </c>
      <c r="B123" s="626"/>
      <c r="C123" s="626"/>
      <c r="D123" s="626"/>
      <c r="E123" s="626"/>
      <c r="F123" s="626"/>
      <c r="G123" s="626"/>
      <c r="H123" s="627"/>
      <c r="I123" s="298"/>
      <c r="J123" s="625" t="s">
        <v>221</v>
      </c>
      <c r="K123" s="626"/>
      <c r="L123" s="626"/>
      <c r="M123" s="626"/>
      <c r="N123" s="626"/>
      <c r="O123" s="626"/>
      <c r="P123" s="626"/>
      <c r="Q123" s="627"/>
    </row>
    <row r="124" spans="1:27" s="16" customFormat="1" ht="25.5" x14ac:dyDescent="0.25">
      <c r="A124" s="101" t="s">
        <v>13</v>
      </c>
      <c r="B124" s="102" t="s">
        <v>45</v>
      </c>
      <c r="C124" s="65" t="s">
        <v>107</v>
      </c>
      <c r="D124" s="65" t="s">
        <v>108</v>
      </c>
      <c r="E124" s="569" t="s">
        <v>15</v>
      </c>
      <c r="F124" s="570"/>
      <c r="G124" s="299" t="s">
        <v>0</v>
      </c>
      <c r="H124" s="299" t="s">
        <v>1</v>
      </c>
      <c r="J124" s="101" t="s">
        <v>13</v>
      </c>
      <c r="K124" s="102" t="s">
        <v>45</v>
      </c>
      <c r="L124" s="65" t="s">
        <v>107</v>
      </c>
      <c r="M124" s="65" t="s">
        <v>108</v>
      </c>
      <c r="N124" s="569" t="s">
        <v>15</v>
      </c>
      <c r="O124" s="570"/>
      <c r="P124" s="299" t="s">
        <v>0</v>
      </c>
      <c r="Q124" s="299" t="s">
        <v>1</v>
      </c>
    </row>
    <row r="125" spans="1:27" s="16" customFormat="1" x14ac:dyDescent="0.25">
      <c r="A125" s="3" t="s">
        <v>106</v>
      </c>
      <c r="B125" s="306">
        <v>15</v>
      </c>
      <c r="C125" s="538">
        <v>1</v>
      </c>
      <c r="D125" s="520">
        <f>B125*C125</f>
        <v>15</v>
      </c>
      <c r="E125" s="526">
        <f>D125*$Q$31/1000</f>
        <v>0.15</v>
      </c>
      <c r="F125" s="309" t="s">
        <v>25</v>
      </c>
      <c r="G125" s="362"/>
      <c r="H125" s="311">
        <f>D125*G125/1000</f>
        <v>0</v>
      </c>
      <c r="J125" s="6" t="s">
        <v>63</v>
      </c>
      <c r="K125" s="5">
        <v>20</v>
      </c>
      <c r="L125" s="523">
        <v>1</v>
      </c>
      <c r="M125" s="522">
        <f>K125*L125</f>
        <v>20</v>
      </c>
      <c r="N125" s="389">
        <f>M125*$Q$31/1000</f>
        <v>0.2</v>
      </c>
      <c r="O125" s="5" t="s">
        <v>25</v>
      </c>
      <c r="P125" s="321"/>
      <c r="Q125" s="311">
        <f>M125*P125/1000</f>
        <v>0</v>
      </c>
    </row>
    <row r="126" spans="1:27" s="16" customFormat="1" x14ac:dyDescent="0.25">
      <c r="A126" s="6" t="s">
        <v>2</v>
      </c>
      <c r="B126" s="5">
        <v>4</v>
      </c>
      <c r="C126" s="523">
        <v>1.08</v>
      </c>
      <c r="D126" s="520">
        <f t="shared" ref="D126:D131" si="22">B126*C126</f>
        <v>4.32</v>
      </c>
      <c r="E126" s="526">
        <f t="shared" ref="E126:E131" si="23">D126*$Q$31/1000</f>
        <v>4.3200000000000002E-2</v>
      </c>
      <c r="F126" s="5" t="s">
        <v>25</v>
      </c>
      <c r="G126" s="311"/>
      <c r="H126" s="311">
        <f t="shared" ref="H126:H131" si="24">D126*G126/1000</f>
        <v>0</v>
      </c>
      <c r="J126" s="6" t="s">
        <v>157</v>
      </c>
      <c r="K126" s="5">
        <v>5</v>
      </c>
      <c r="L126" s="523">
        <v>1</v>
      </c>
      <c r="M126" s="522">
        <f t="shared" ref="M126:M127" si="25">K126*L126</f>
        <v>5</v>
      </c>
      <c r="N126" s="389">
        <f>M126*$Q$31/400</f>
        <v>0.125</v>
      </c>
      <c r="O126" s="5" t="s">
        <v>178</v>
      </c>
      <c r="P126" s="321"/>
      <c r="Q126" s="311">
        <f t="shared" ref="Q126:Q127" si="26">M126*P126/1000</f>
        <v>0</v>
      </c>
    </row>
    <row r="127" spans="1:27" s="16" customFormat="1" x14ac:dyDescent="0.25">
      <c r="A127" s="6" t="s">
        <v>3</v>
      </c>
      <c r="B127" s="5">
        <v>0.4</v>
      </c>
      <c r="C127" s="523">
        <v>1.18</v>
      </c>
      <c r="D127" s="520">
        <f t="shared" si="22"/>
        <v>0.47199999999999998</v>
      </c>
      <c r="E127" s="526">
        <f t="shared" si="23"/>
        <v>4.7199999999999994E-3</v>
      </c>
      <c r="F127" s="5" t="s">
        <v>25</v>
      </c>
      <c r="G127" s="311"/>
      <c r="H127" s="311">
        <f t="shared" si="24"/>
        <v>0</v>
      </c>
      <c r="J127" s="6" t="s">
        <v>5</v>
      </c>
      <c r="K127" s="5">
        <v>0.5</v>
      </c>
      <c r="L127" s="523">
        <v>1</v>
      </c>
      <c r="M127" s="522">
        <f t="shared" si="25"/>
        <v>0.5</v>
      </c>
      <c r="N127" s="389">
        <f t="shared" ref="N127" si="27">M127*$Q$31/1000</f>
        <v>5.0000000000000001E-3</v>
      </c>
      <c r="O127" s="5" t="s">
        <v>25</v>
      </c>
      <c r="P127" s="321"/>
      <c r="Q127" s="311">
        <f t="shared" si="26"/>
        <v>0</v>
      </c>
    </row>
    <row r="128" spans="1:27" s="16" customFormat="1" x14ac:dyDescent="0.25">
      <c r="A128" s="90" t="s">
        <v>47</v>
      </c>
      <c r="B128" s="91">
        <v>0.7</v>
      </c>
      <c r="C128" s="543">
        <v>1</v>
      </c>
      <c r="D128" s="520">
        <f t="shared" si="22"/>
        <v>0.7</v>
      </c>
      <c r="E128" s="526">
        <f>D128*$Q$31/100</f>
        <v>7.0000000000000007E-2</v>
      </c>
      <c r="F128" s="14" t="s">
        <v>36</v>
      </c>
      <c r="G128" s="108"/>
      <c r="H128" s="311">
        <f>D128*G128/100</f>
        <v>0</v>
      </c>
      <c r="J128" s="2"/>
      <c r="K128" s="381"/>
      <c r="L128" s="381"/>
      <c r="M128" s="381"/>
      <c r="N128" s="524"/>
      <c r="O128" s="11"/>
      <c r="P128" s="525"/>
      <c r="Q128" s="206">
        <f>SUM(Q125:Q127)</f>
        <v>0</v>
      </c>
    </row>
    <row r="129" spans="1:27" s="16" customFormat="1" x14ac:dyDescent="0.25">
      <c r="A129" s="6" t="s">
        <v>127</v>
      </c>
      <c r="B129" s="309">
        <v>1</v>
      </c>
      <c r="C129" s="523">
        <v>1</v>
      </c>
      <c r="D129" s="520">
        <f t="shared" si="22"/>
        <v>1</v>
      </c>
      <c r="E129" s="526">
        <f>D129*$Q$31/900</f>
        <v>1.1111111111111112E-2</v>
      </c>
      <c r="F129" s="5" t="s">
        <v>40</v>
      </c>
      <c r="G129" s="311"/>
      <c r="H129" s="311">
        <f>D129*G129/900</f>
        <v>0</v>
      </c>
    </row>
    <row r="130" spans="1:27" s="16" customFormat="1" x14ac:dyDescent="0.25">
      <c r="A130" s="6" t="s">
        <v>5</v>
      </c>
      <c r="B130" s="309">
        <v>0.5</v>
      </c>
      <c r="C130" s="523">
        <v>1</v>
      </c>
      <c r="D130" s="520">
        <f t="shared" si="22"/>
        <v>0.5</v>
      </c>
      <c r="E130" s="526">
        <f t="shared" si="23"/>
        <v>5.0000000000000001E-3</v>
      </c>
      <c r="F130" s="5" t="s">
        <v>16</v>
      </c>
      <c r="G130" s="311"/>
      <c r="H130" s="311">
        <f t="shared" si="24"/>
        <v>0</v>
      </c>
    </row>
    <row r="131" spans="1:27" s="16" customFormat="1" x14ac:dyDescent="0.25">
      <c r="A131" s="6" t="s">
        <v>10</v>
      </c>
      <c r="B131" s="309">
        <v>5</v>
      </c>
      <c r="C131" s="523">
        <v>1.33</v>
      </c>
      <c r="D131" s="520">
        <f t="shared" si="22"/>
        <v>6.65</v>
      </c>
      <c r="E131" s="526">
        <f t="shared" si="23"/>
        <v>6.6500000000000004E-2</v>
      </c>
      <c r="F131" s="5" t="s">
        <v>16</v>
      </c>
      <c r="G131" s="311"/>
      <c r="H131" s="311">
        <f t="shared" si="24"/>
        <v>0</v>
      </c>
    </row>
    <row r="132" spans="1:27" s="16" customFormat="1" x14ac:dyDescent="0.25">
      <c r="H132" s="206">
        <f>SUM(H125:H131)</f>
        <v>0</v>
      </c>
    </row>
    <row r="133" spans="1:27" s="16" customFormat="1" x14ac:dyDescent="0.25">
      <c r="A133" s="13"/>
      <c r="B133" s="11"/>
      <c r="C133" s="11"/>
      <c r="D133" s="11"/>
      <c r="E133" s="524"/>
      <c r="F133" s="11"/>
      <c r="G133" s="335"/>
      <c r="H133" s="247"/>
    </row>
    <row r="134" spans="1:27" s="16" customFormat="1" x14ac:dyDescent="0.25">
      <c r="A134" s="13"/>
      <c r="B134" s="11"/>
      <c r="C134" s="11"/>
      <c r="D134" s="11"/>
      <c r="E134" s="524"/>
      <c r="F134" s="11"/>
      <c r="G134" s="335"/>
      <c r="H134" s="247"/>
      <c r="K134" s="628" t="s">
        <v>179</v>
      </c>
      <c r="L134" s="628"/>
      <c r="M134" s="628"/>
      <c r="N134" s="366">
        <f>H93+H110+Q104+Z108+H119+H132+Q128</f>
        <v>0</v>
      </c>
    </row>
    <row r="135" spans="1:27" s="16" customFormat="1" x14ac:dyDescent="0.25">
      <c r="A135" s="363"/>
      <c r="B135" s="11"/>
      <c r="C135" s="11"/>
      <c r="D135" s="11"/>
      <c r="E135" s="364"/>
      <c r="F135" s="330"/>
      <c r="G135" s="365"/>
      <c r="H135" s="380"/>
      <c r="U135" s="377"/>
      <c r="V135" s="377"/>
    </row>
    <row r="136" spans="1:27" s="16" customFormat="1" x14ac:dyDescent="0.25"/>
    <row r="137" spans="1:27" ht="25.5" x14ac:dyDescent="0.35">
      <c r="A137" s="630" t="s">
        <v>20</v>
      </c>
      <c r="B137" s="630"/>
      <c r="C137" s="630"/>
      <c r="D137" s="630"/>
      <c r="E137" s="630"/>
      <c r="F137" s="630"/>
      <c r="G137" s="630"/>
      <c r="H137" s="630"/>
      <c r="I137" s="630"/>
      <c r="J137" s="630"/>
      <c r="K137" s="630"/>
      <c r="L137" s="630"/>
      <c r="M137" s="630"/>
      <c r="N137" s="630"/>
      <c r="O137" s="630"/>
      <c r="P137" s="630"/>
      <c r="Q137" s="630"/>
      <c r="R137" s="630"/>
      <c r="S137" s="630"/>
      <c r="T137" s="630"/>
      <c r="U137" s="630"/>
      <c r="V137" s="630"/>
      <c r="W137" s="630"/>
      <c r="X137" s="630"/>
      <c r="Y137" s="630"/>
      <c r="Z137" s="630"/>
      <c r="AA137" s="630"/>
    </row>
    <row r="139" spans="1:27" x14ac:dyDescent="0.25">
      <c r="A139" s="624" t="s">
        <v>59</v>
      </c>
      <c r="B139" s="624"/>
      <c r="C139" s="624"/>
      <c r="D139" s="624"/>
      <c r="E139" s="624"/>
      <c r="F139" s="624"/>
      <c r="G139" s="624"/>
      <c r="H139" s="624"/>
      <c r="I139" s="624"/>
      <c r="J139" s="624"/>
      <c r="K139" s="624"/>
      <c r="L139" s="624"/>
      <c r="M139" s="624"/>
      <c r="N139" s="624"/>
      <c r="O139" s="624"/>
      <c r="P139" s="624"/>
      <c r="Q139" s="624"/>
      <c r="R139" s="624"/>
      <c r="S139" s="624"/>
      <c r="T139" s="624"/>
      <c r="U139" s="624"/>
      <c r="V139" s="624"/>
      <c r="W139" s="624"/>
      <c r="X139" s="624"/>
      <c r="Y139" s="624"/>
      <c r="Z139" s="624"/>
      <c r="AA139" s="624"/>
    </row>
    <row r="140" spans="1:27" ht="26.25" thickBot="1" x14ac:dyDescent="0.4">
      <c r="B140" s="297"/>
      <c r="C140" s="297"/>
      <c r="D140" s="297"/>
      <c r="E140" s="297"/>
      <c r="F140" s="297"/>
      <c r="I140" s="367"/>
      <c r="J140" s="367"/>
      <c r="K140" s="367"/>
      <c r="L140" s="367"/>
      <c r="M140" s="367"/>
      <c r="N140" s="367"/>
      <c r="O140" s="367"/>
      <c r="P140" s="367"/>
      <c r="Q140" s="367"/>
    </row>
    <row r="141" spans="1:27" ht="15.75" thickBot="1" x14ac:dyDescent="0.3">
      <c r="A141" s="625" t="s">
        <v>157</v>
      </c>
      <c r="B141" s="626"/>
      <c r="C141" s="626"/>
      <c r="D141" s="626"/>
      <c r="E141" s="626"/>
      <c r="F141" s="626"/>
      <c r="G141" s="626"/>
      <c r="H141" s="627"/>
    </row>
    <row r="142" spans="1:27" x14ac:dyDescent="0.25">
      <c r="A142" s="299" t="s">
        <v>13</v>
      </c>
      <c r="B142" s="299" t="s">
        <v>17</v>
      </c>
      <c r="C142" s="65" t="s">
        <v>107</v>
      </c>
      <c r="D142" s="65" t="s">
        <v>108</v>
      </c>
      <c r="E142" s="631" t="s">
        <v>15</v>
      </c>
      <c r="F142" s="632"/>
      <c r="G142" s="299" t="s">
        <v>42</v>
      </c>
      <c r="H142" s="299" t="s">
        <v>43</v>
      </c>
      <c r="I142" s="298"/>
    </row>
    <row r="143" spans="1:27" x14ac:dyDescent="0.25">
      <c r="A143" s="3" t="s">
        <v>157</v>
      </c>
      <c r="B143" s="301">
        <v>15</v>
      </c>
      <c r="C143" s="537">
        <v>1</v>
      </c>
      <c r="D143" s="518">
        <f>B143*C143</f>
        <v>15</v>
      </c>
      <c r="E143" s="389">
        <f>D143*Q134/400</f>
        <v>0</v>
      </c>
      <c r="F143" s="137" t="s">
        <v>168</v>
      </c>
      <c r="G143" s="302"/>
      <c r="H143" s="201">
        <f>D143*G143/400</f>
        <v>0</v>
      </c>
    </row>
    <row r="144" spans="1:27" x14ac:dyDescent="0.25">
      <c r="A144" s="303"/>
      <c r="B144" s="304"/>
      <c r="C144" s="304"/>
      <c r="D144" s="304"/>
      <c r="E144" s="300"/>
      <c r="F144" s="300"/>
      <c r="H144" s="206">
        <f>SUM(H143:H143)</f>
        <v>0</v>
      </c>
      <c r="I144" s="368"/>
    </row>
    <row r="145" spans="1:27" x14ac:dyDescent="0.25">
      <c r="H145" s="43"/>
    </row>
    <row r="146" spans="1:27" x14ac:dyDescent="0.25">
      <c r="A146" s="624" t="s">
        <v>60</v>
      </c>
      <c r="B146" s="624"/>
      <c r="C146" s="624"/>
      <c r="D146" s="624"/>
      <c r="E146" s="624"/>
      <c r="F146" s="624"/>
      <c r="G146" s="624"/>
      <c r="H146" s="624"/>
      <c r="I146" s="624"/>
      <c r="J146" s="624"/>
      <c r="K146" s="624"/>
      <c r="L146" s="624"/>
      <c r="M146" s="624"/>
      <c r="N146" s="624"/>
      <c r="O146" s="624"/>
      <c r="P146" s="624"/>
      <c r="Q146" s="624"/>
      <c r="R146" s="624"/>
      <c r="S146" s="624"/>
      <c r="T146" s="624"/>
      <c r="U146" s="624"/>
      <c r="V146" s="624"/>
      <c r="W146" s="624"/>
      <c r="X146" s="624"/>
      <c r="Y146" s="624"/>
      <c r="Z146" s="624"/>
      <c r="AA146" s="624"/>
    </row>
    <row r="147" spans="1:27" ht="15.75" thickBot="1" x14ac:dyDescent="0.3">
      <c r="A147" s="298"/>
      <c r="B147" s="298"/>
      <c r="C147" s="488"/>
      <c r="D147" s="488"/>
      <c r="E147" s="298"/>
      <c r="F147" s="298"/>
      <c r="G147" s="298"/>
      <c r="H147" s="298"/>
      <c r="I147" s="298"/>
      <c r="J147" s="298"/>
      <c r="K147" s="298"/>
      <c r="L147" s="488"/>
      <c r="M147" s="488"/>
      <c r="N147" s="298"/>
      <c r="O147" s="298"/>
      <c r="P147" s="298"/>
      <c r="Q147" s="298"/>
      <c r="R147" s="298"/>
      <c r="S147" s="298"/>
      <c r="T147" s="298"/>
      <c r="U147" s="488"/>
      <c r="V147" s="488"/>
      <c r="W147" s="298"/>
      <c r="X147" s="298"/>
      <c r="Y147" s="298"/>
      <c r="Z147" s="298"/>
      <c r="AA147" s="298"/>
    </row>
    <row r="148" spans="1:27" ht="15.75" thickBot="1" x14ac:dyDescent="0.3">
      <c r="A148" s="625" t="s">
        <v>180</v>
      </c>
      <c r="B148" s="626"/>
      <c r="C148" s="626"/>
      <c r="D148" s="626"/>
      <c r="E148" s="626"/>
      <c r="F148" s="626"/>
      <c r="G148" s="626"/>
      <c r="H148" s="627"/>
      <c r="J148" s="625" t="s">
        <v>181</v>
      </c>
      <c r="K148" s="626"/>
      <c r="L148" s="626"/>
      <c r="M148" s="626"/>
      <c r="N148" s="626"/>
      <c r="O148" s="626"/>
      <c r="P148" s="626"/>
      <c r="Q148" s="627"/>
      <c r="S148" s="625" t="s">
        <v>50</v>
      </c>
      <c r="T148" s="626"/>
      <c r="U148" s="626"/>
      <c r="V148" s="626"/>
      <c r="W148" s="626"/>
      <c r="X148" s="626"/>
      <c r="Y148" s="626"/>
      <c r="Z148" s="627"/>
    </row>
    <row r="149" spans="1:27" ht="38.25" x14ac:dyDescent="0.25">
      <c r="A149" s="101" t="s">
        <v>13</v>
      </c>
      <c r="B149" s="102" t="s">
        <v>45</v>
      </c>
      <c r="C149" s="65" t="s">
        <v>107</v>
      </c>
      <c r="D149" s="65" t="s">
        <v>108</v>
      </c>
      <c r="E149" s="569" t="s">
        <v>15</v>
      </c>
      <c r="F149" s="570"/>
      <c r="G149" s="299" t="s">
        <v>0</v>
      </c>
      <c r="H149" s="299" t="s">
        <v>1</v>
      </c>
      <c r="J149" s="101" t="s">
        <v>13</v>
      </c>
      <c r="K149" s="102" t="s">
        <v>170</v>
      </c>
      <c r="L149" s="65" t="s">
        <v>107</v>
      </c>
      <c r="M149" s="65" t="s">
        <v>108</v>
      </c>
      <c r="N149" s="569" t="s">
        <v>15</v>
      </c>
      <c r="O149" s="570"/>
      <c r="P149" s="299" t="s">
        <v>0</v>
      </c>
      <c r="Q149" s="299" t="s">
        <v>1</v>
      </c>
      <c r="S149" s="101" t="s">
        <v>13</v>
      </c>
      <c r="T149" s="102" t="s">
        <v>45</v>
      </c>
      <c r="U149" s="65" t="s">
        <v>107</v>
      </c>
      <c r="V149" s="65" t="s">
        <v>108</v>
      </c>
      <c r="W149" s="569" t="s">
        <v>15</v>
      </c>
      <c r="X149" s="570"/>
      <c r="Y149" s="299" t="s">
        <v>0</v>
      </c>
      <c r="Z149" s="299" t="s">
        <v>1</v>
      </c>
    </row>
    <row r="150" spans="1:27" x14ac:dyDescent="0.25">
      <c r="A150" s="3" t="s">
        <v>46</v>
      </c>
      <c r="B150" s="306">
        <v>15</v>
      </c>
      <c r="C150" s="538">
        <v>1.18</v>
      </c>
      <c r="D150" s="520">
        <f>B150*C150</f>
        <v>17.7</v>
      </c>
      <c r="E150" s="389">
        <f>D150*$Q$31/1000</f>
        <v>0.17699999999999999</v>
      </c>
      <c r="F150" s="5" t="s">
        <v>25</v>
      </c>
      <c r="G150" s="308"/>
      <c r="H150" s="201">
        <f>D150*G150/1000</f>
        <v>0</v>
      </c>
      <c r="J150" s="7" t="s">
        <v>63</v>
      </c>
      <c r="K150" s="5">
        <v>20</v>
      </c>
      <c r="L150" s="523">
        <v>1</v>
      </c>
      <c r="M150" s="522">
        <f>K150*L150</f>
        <v>20</v>
      </c>
      <c r="N150" s="307">
        <f>M150*$Q$31/1000</f>
        <v>0.2</v>
      </c>
      <c r="O150" s="5" t="s">
        <v>25</v>
      </c>
      <c r="P150" s="308"/>
      <c r="Q150" s="201">
        <f>M150*P150/1000</f>
        <v>0</v>
      </c>
      <c r="S150" s="3" t="s">
        <v>50</v>
      </c>
      <c r="T150" s="306">
        <v>15</v>
      </c>
      <c r="U150" s="538">
        <v>1</v>
      </c>
      <c r="V150" s="520">
        <f>T150*U150</f>
        <v>15</v>
      </c>
      <c r="W150" s="307">
        <f>V150*$Q$31/1000</f>
        <v>0.15</v>
      </c>
      <c r="X150" s="309" t="s">
        <v>25</v>
      </c>
      <c r="Y150" s="308"/>
      <c r="Z150" s="201">
        <f>V150*Y150/1000</f>
        <v>0</v>
      </c>
    </row>
    <row r="151" spans="1:27" x14ac:dyDescent="0.25">
      <c r="A151" s="3" t="s">
        <v>2</v>
      </c>
      <c r="B151" s="310">
        <v>4</v>
      </c>
      <c r="C151" s="538">
        <v>1.08</v>
      </c>
      <c r="D151" s="520">
        <f t="shared" ref="D151:D156" si="28">B151*C151</f>
        <v>4.32</v>
      </c>
      <c r="E151" s="389">
        <f t="shared" ref="E151:E155" si="29">D151*$Q$31/1000</f>
        <v>4.3200000000000002E-2</v>
      </c>
      <c r="F151" s="5" t="s">
        <v>25</v>
      </c>
      <c r="G151" s="311"/>
      <c r="H151" s="201">
        <f t="shared" ref="H151:H152" si="30">D151*G151/1000</f>
        <v>0</v>
      </c>
      <c r="J151" s="6" t="s">
        <v>5</v>
      </c>
      <c r="K151" s="5">
        <v>0.5</v>
      </c>
      <c r="L151" s="523">
        <v>1</v>
      </c>
      <c r="M151" s="522">
        <f t="shared" ref="M151:M155" si="31">K151*L151</f>
        <v>0.5</v>
      </c>
      <c r="N151" s="307">
        <f t="shared" ref="N151:N153" si="32">M151*$Q$31/1000</f>
        <v>5.0000000000000001E-3</v>
      </c>
      <c r="O151" s="5" t="s">
        <v>25</v>
      </c>
      <c r="P151" s="308"/>
      <c r="Q151" s="201">
        <f t="shared" ref="Q151:Q153" si="33">M151*P151/1000</f>
        <v>0</v>
      </c>
      <c r="S151" s="104" t="s">
        <v>52</v>
      </c>
      <c r="T151" s="96">
        <v>10</v>
      </c>
      <c r="U151" s="540">
        <v>1.1599999999999999</v>
      </c>
      <c r="V151" s="520">
        <f t="shared" ref="V151:V158" si="34">T151*U151</f>
        <v>11.6</v>
      </c>
      <c r="W151" s="307">
        <f t="shared" ref="W151:W156" si="35">V151*$Q$31/1000</f>
        <v>0.11600000000000001</v>
      </c>
      <c r="X151" s="91" t="s">
        <v>25</v>
      </c>
      <c r="Y151" s="106"/>
      <c r="Z151" s="201">
        <f t="shared" ref="Z151:Z154" si="36">V151*Y151/1000</f>
        <v>0</v>
      </c>
    </row>
    <row r="152" spans="1:27" x14ac:dyDescent="0.25">
      <c r="A152" s="3" t="s">
        <v>3</v>
      </c>
      <c r="B152" s="310">
        <v>0.4</v>
      </c>
      <c r="C152" s="538">
        <v>1.18</v>
      </c>
      <c r="D152" s="520">
        <f t="shared" si="28"/>
        <v>0.47199999999999998</v>
      </c>
      <c r="E152" s="389">
        <f t="shared" si="29"/>
        <v>4.7199999999999994E-3</v>
      </c>
      <c r="F152" s="5" t="s">
        <v>25</v>
      </c>
      <c r="G152" s="311"/>
      <c r="H152" s="201">
        <f t="shared" si="30"/>
        <v>0</v>
      </c>
      <c r="J152" s="6" t="s">
        <v>3</v>
      </c>
      <c r="K152" s="5">
        <v>0.4</v>
      </c>
      <c r="L152" s="523">
        <v>1.18</v>
      </c>
      <c r="M152" s="522">
        <f t="shared" si="31"/>
        <v>0.47199999999999998</v>
      </c>
      <c r="N152" s="307">
        <f t="shared" si="32"/>
        <v>4.7199999999999994E-3</v>
      </c>
      <c r="O152" s="5" t="s">
        <v>25</v>
      </c>
      <c r="P152" s="308"/>
      <c r="Q152" s="201">
        <f t="shared" si="33"/>
        <v>0</v>
      </c>
      <c r="S152" s="3" t="s">
        <v>51</v>
      </c>
      <c r="T152" s="306">
        <v>15</v>
      </c>
      <c r="U152" s="538">
        <v>1.35</v>
      </c>
      <c r="V152" s="520">
        <f t="shared" si="34"/>
        <v>20.25</v>
      </c>
      <c r="W152" s="307">
        <f t="shared" si="35"/>
        <v>0.20250000000000001</v>
      </c>
      <c r="X152" s="309" t="s">
        <v>25</v>
      </c>
      <c r="Y152" s="311"/>
      <c r="Z152" s="201">
        <f t="shared" si="36"/>
        <v>0</v>
      </c>
    </row>
    <row r="153" spans="1:27" x14ac:dyDescent="0.25">
      <c r="A153" s="3" t="s">
        <v>47</v>
      </c>
      <c r="B153" s="310">
        <v>0.7</v>
      </c>
      <c r="C153" s="538">
        <v>1</v>
      </c>
      <c r="D153" s="520">
        <f t="shared" si="28"/>
        <v>0.7</v>
      </c>
      <c r="E153" s="389">
        <f>D153*$Q$31/100</f>
        <v>7.0000000000000007E-2</v>
      </c>
      <c r="F153" s="5" t="s">
        <v>36</v>
      </c>
      <c r="G153" s="311"/>
      <c r="H153" s="201">
        <f>D153*G153/100</f>
        <v>0</v>
      </c>
      <c r="J153" s="6" t="s">
        <v>2</v>
      </c>
      <c r="K153" s="5">
        <v>4</v>
      </c>
      <c r="L153" s="523">
        <v>1.08</v>
      </c>
      <c r="M153" s="522">
        <f t="shared" si="31"/>
        <v>4.32</v>
      </c>
      <c r="N153" s="307">
        <f t="shared" si="32"/>
        <v>4.3200000000000002E-2</v>
      </c>
      <c r="O153" s="5" t="s">
        <v>25</v>
      </c>
      <c r="P153" s="308"/>
      <c r="Q153" s="201">
        <f t="shared" si="33"/>
        <v>0</v>
      </c>
      <c r="S153" s="3" t="s">
        <v>2</v>
      </c>
      <c r="T153" s="306">
        <v>4</v>
      </c>
      <c r="U153" s="538">
        <v>1.08</v>
      </c>
      <c r="V153" s="520">
        <f t="shared" si="34"/>
        <v>4.32</v>
      </c>
      <c r="W153" s="307">
        <f t="shared" si="35"/>
        <v>4.3200000000000002E-2</v>
      </c>
      <c r="X153" s="309" t="s">
        <v>25</v>
      </c>
      <c r="Y153" s="311"/>
      <c r="Z153" s="201">
        <f t="shared" si="36"/>
        <v>0</v>
      </c>
    </row>
    <row r="154" spans="1:27" x14ac:dyDescent="0.25">
      <c r="A154" s="3" t="s">
        <v>5</v>
      </c>
      <c r="B154" s="310">
        <v>1</v>
      </c>
      <c r="C154" s="538">
        <v>1</v>
      </c>
      <c r="D154" s="520">
        <f t="shared" si="28"/>
        <v>1</v>
      </c>
      <c r="E154" s="389">
        <f t="shared" si="29"/>
        <v>0.01</v>
      </c>
      <c r="F154" s="5" t="s">
        <v>25</v>
      </c>
      <c r="G154" s="311"/>
      <c r="H154" s="201">
        <f t="shared" ref="H154:H155" si="37">D154*G154/1000</f>
        <v>0</v>
      </c>
      <c r="J154" s="6" t="s">
        <v>127</v>
      </c>
      <c r="K154" s="5">
        <v>1</v>
      </c>
      <c r="L154" s="523">
        <v>1</v>
      </c>
      <c r="M154" s="522">
        <f t="shared" si="31"/>
        <v>1</v>
      </c>
      <c r="N154" s="307">
        <f>M154*$Q$31/900</f>
        <v>1.1111111111111112E-2</v>
      </c>
      <c r="O154" s="5" t="s">
        <v>40</v>
      </c>
      <c r="P154" s="308"/>
      <c r="Q154" s="201">
        <f>M154*P154/900</f>
        <v>0</v>
      </c>
      <c r="S154" s="3" t="s">
        <v>3</v>
      </c>
      <c r="T154" s="306">
        <v>0.4</v>
      </c>
      <c r="U154" s="538">
        <v>1.18</v>
      </c>
      <c r="V154" s="520">
        <f t="shared" si="34"/>
        <v>0.47199999999999998</v>
      </c>
      <c r="W154" s="307">
        <f t="shared" si="35"/>
        <v>4.7199999999999994E-3</v>
      </c>
      <c r="X154" s="309" t="s">
        <v>25</v>
      </c>
      <c r="Y154" s="308"/>
      <c r="Z154" s="201">
        <f t="shared" si="36"/>
        <v>0</v>
      </c>
    </row>
    <row r="155" spans="1:27" x14ac:dyDescent="0.25">
      <c r="A155" s="3" t="s">
        <v>10</v>
      </c>
      <c r="B155" s="310">
        <v>5</v>
      </c>
      <c r="C155" s="538">
        <v>1.33</v>
      </c>
      <c r="D155" s="520">
        <f t="shared" si="28"/>
        <v>6.65</v>
      </c>
      <c r="E155" s="389">
        <f t="shared" si="29"/>
        <v>6.6500000000000004E-2</v>
      </c>
      <c r="F155" s="5" t="s">
        <v>16</v>
      </c>
      <c r="G155" s="311"/>
      <c r="H155" s="201">
        <f t="shared" si="37"/>
        <v>0</v>
      </c>
      <c r="J155" s="6" t="s">
        <v>7</v>
      </c>
      <c r="K155" s="5">
        <v>5</v>
      </c>
      <c r="L155" s="542">
        <v>1.18</v>
      </c>
      <c r="M155" s="522">
        <f t="shared" si="31"/>
        <v>5.8999999999999995</v>
      </c>
      <c r="N155" s="307">
        <f>M155*$Q$31/900</f>
        <v>6.5555555555555547E-2</v>
      </c>
      <c r="O155" s="5" t="s">
        <v>25</v>
      </c>
      <c r="P155" s="308"/>
      <c r="Q155" s="201">
        <f t="shared" ref="Q155" si="38">K155*P155/1000</f>
        <v>0</v>
      </c>
      <c r="S155" s="3" t="s">
        <v>127</v>
      </c>
      <c r="T155" s="306">
        <v>1</v>
      </c>
      <c r="U155" s="538">
        <v>1</v>
      </c>
      <c r="V155" s="520">
        <f t="shared" si="34"/>
        <v>1</v>
      </c>
      <c r="W155" s="307">
        <f>V155*$Q$31/900</f>
        <v>1.1111111111111112E-2</v>
      </c>
      <c r="X155" s="5" t="s">
        <v>40</v>
      </c>
      <c r="Y155" s="311"/>
      <c r="Z155" s="201">
        <f>V155*Y155/900</f>
        <v>0</v>
      </c>
    </row>
    <row r="156" spans="1:27" x14ac:dyDescent="0.25">
      <c r="A156" s="3" t="s">
        <v>128</v>
      </c>
      <c r="B156" s="310">
        <v>2</v>
      </c>
      <c r="C156" s="538">
        <v>1</v>
      </c>
      <c r="D156" s="520">
        <f t="shared" si="28"/>
        <v>2</v>
      </c>
      <c r="E156" s="389">
        <f>D156*$Q$31/900</f>
        <v>2.2222222222222223E-2</v>
      </c>
      <c r="F156" s="5" t="s">
        <v>40</v>
      </c>
      <c r="G156" s="311"/>
      <c r="H156" s="201">
        <f>D156*G156/900</f>
        <v>0</v>
      </c>
      <c r="Q156" s="206">
        <f>SUM(Q150:Q155)</f>
        <v>0</v>
      </c>
      <c r="S156" s="104" t="s">
        <v>10</v>
      </c>
      <c r="T156" s="96">
        <v>5</v>
      </c>
      <c r="U156" s="540">
        <v>1.33</v>
      </c>
      <c r="V156" s="520">
        <f t="shared" si="34"/>
        <v>6.65</v>
      </c>
      <c r="W156" s="307">
        <f t="shared" si="35"/>
        <v>6.6500000000000004E-2</v>
      </c>
      <c r="X156" s="91" t="s">
        <v>25</v>
      </c>
      <c r="Y156" s="108"/>
      <c r="Z156" s="201">
        <f t="shared" ref="Z156" si="39">V156*Y156/1000</f>
        <v>0</v>
      </c>
    </row>
    <row r="157" spans="1:27" x14ac:dyDescent="0.25">
      <c r="A157" s="2"/>
      <c r="B157" s="304"/>
      <c r="C157" s="304"/>
      <c r="D157" s="304"/>
      <c r="E157" s="369"/>
      <c r="F157" s="330"/>
      <c r="G157" s="365"/>
      <c r="H157" s="206">
        <f>SUM(H150:H156)</f>
        <v>0</v>
      </c>
      <c r="S157" s="3" t="s">
        <v>12</v>
      </c>
      <c r="T157" s="306">
        <v>0.4</v>
      </c>
      <c r="U157" s="538">
        <v>1.35</v>
      </c>
      <c r="V157" s="520">
        <f t="shared" si="34"/>
        <v>0.54</v>
      </c>
      <c r="W157" s="307">
        <f>V157*$Q$31/30</f>
        <v>0.18000000000000002</v>
      </c>
      <c r="X157" s="309" t="s">
        <v>39</v>
      </c>
      <c r="Y157" s="311"/>
      <c r="Z157" s="201">
        <f>V157*Y157/30</f>
        <v>0</v>
      </c>
    </row>
    <row r="158" spans="1:27" ht="15.75" thickBot="1" x14ac:dyDescent="0.3">
      <c r="S158" s="3" t="s">
        <v>5</v>
      </c>
      <c r="T158" s="306">
        <v>0.5</v>
      </c>
      <c r="U158" s="538">
        <v>1</v>
      </c>
      <c r="V158" s="520">
        <f t="shared" si="34"/>
        <v>0.5</v>
      </c>
      <c r="W158" s="307">
        <f>V158*$Q$31/1000</f>
        <v>5.0000000000000001E-3</v>
      </c>
      <c r="X158" s="309" t="s">
        <v>25</v>
      </c>
      <c r="Y158" s="311"/>
      <c r="Z158" s="201">
        <f t="shared" ref="Z158" si="40">V158*Y158/1000</f>
        <v>0</v>
      </c>
    </row>
    <row r="159" spans="1:27" ht="15.75" thickBot="1" x14ac:dyDescent="0.3">
      <c r="A159" s="625" t="s">
        <v>182</v>
      </c>
      <c r="B159" s="626"/>
      <c r="C159" s="626"/>
      <c r="D159" s="626"/>
      <c r="E159" s="626"/>
      <c r="F159" s="626"/>
      <c r="G159" s="626"/>
      <c r="H159" s="627"/>
      <c r="J159" s="16"/>
      <c r="K159" s="16"/>
      <c r="L159" s="16"/>
      <c r="M159" s="16"/>
      <c r="N159" s="16"/>
      <c r="O159" s="16"/>
      <c r="P159" s="16"/>
      <c r="Q159" s="16"/>
      <c r="Z159" s="206">
        <f>SUM(Z150:Z158)</f>
        <v>0</v>
      </c>
    </row>
    <row r="160" spans="1:27" ht="25.5" x14ac:dyDescent="0.25">
      <c r="A160" s="101" t="s">
        <v>13</v>
      </c>
      <c r="B160" s="102" t="s">
        <v>45</v>
      </c>
      <c r="C160" s="65" t="s">
        <v>107</v>
      </c>
      <c r="D160" s="65" t="s">
        <v>108</v>
      </c>
      <c r="E160" s="579" t="s">
        <v>15</v>
      </c>
      <c r="F160" s="580"/>
      <c r="G160" s="299" t="s">
        <v>0</v>
      </c>
      <c r="H160" s="299" t="s">
        <v>1</v>
      </c>
      <c r="J160" s="633"/>
      <c r="K160" s="633"/>
      <c r="L160" s="633"/>
      <c r="M160" s="633"/>
      <c r="N160" s="633"/>
      <c r="O160" s="633"/>
      <c r="P160" s="633"/>
      <c r="Q160" s="633"/>
      <c r="Z160" s="46"/>
    </row>
    <row r="161" spans="1:27" x14ac:dyDescent="0.25">
      <c r="A161" s="3" t="s">
        <v>11</v>
      </c>
      <c r="B161" s="306">
        <v>20</v>
      </c>
      <c r="C161" s="538">
        <v>1.35</v>
      </c>
      <c r="D161" s="519">
        <f>B161*C161</f>
        <v>27</v>
      </c>
      <c r="E161" s="389">
        <f>D161*$Q$31/1000</f>
        <v>0.27</v>
      </c>
      <c r="F161" s="309" t="s">
        <v>25</v>
      </c>
      <c r="G161" s="311"/>
      <c r="H161" s="201">
        <f>D161*G161/1000</f>
        <v>0</v>
      </c>
      <c r="J161" s="370"/>
      <c r="K161" s="370"/>
      <c r="L161" s="487"/>
      <c r="M161" s="487"/>
      <c r="N161" s="370"/>
      <c r="O161" s="370"/>
      <c r="P161" s="370"/>
      <c r="Q161" s="370"/>
      <c r="Z161" s="207"/>
    </row>
    <row r="162" spans="1:27" x14ac:dyDescent="0.25">
      <c r="A162" s="3" t="s">
        <v>52</v>
      </c>
      <c r="B162" s="306">
        <v>20</v>
      </c>
      <c r="C162" s="538">
        <v>1.1599999999999999</v>
      </c>
      <c r="D162" s="519">
        <f t="shared" ref="D162:D163" si="41">B162*C162</f>
        <v>23.2</v>
      </c>
      <c r="E162" s="389">
        <f t="shared" ref="E162:E163" si="42">D162*$Q$31/1000</f>
        <v>0.23200000000000001</v>
      </c>
      <c r="F162" s="309" t="s">
        <v>25</v>
      </c>
      <c r="G162" s="311"/>
      <c r="H162" s="201">
        <f t="shared" ref="H162:H163" si="43">D162*G162/1000</f>
        <v>0</v>
      </c>
      <c r="J162" s="370"/>
      <c r="K162" s="370"/>
      <c r="L162" s="487"/>
      <c r="M162" s="487"/>
      <c r="N162" s="370"/>
      <c r="O162" s="370"/>
      <c r="P162" s="370"/>
      <c r="Q162" s="370"/>
      <c r="Z162" s="207"/>
    </row>
    <row r="163" spans="1:27" x14ac:dyDescent="0.25">
      <c r="A163" s="3" t="s">
        <v>5</v>
      </c>
      <c r="B163" s="306">
        <v>0.5</v>
      </c>
      <c r="C163" s="538">
        <v>1</v>
      </c>
      <c r="D163" s="519">
        <f t="shared" si="41"/>
        <v>0.5</v>
      </c>
      <c r="E163" s="389">
        <f t="shared" si="42"/>
        <v>5.0000000000000001E-3</v>
      </c>
      <c r="F163" s="309" t="s">
        <v>25</v>
      </c>
      <c r="G163" s="311"/>
      <c r="H163" s="201">
        <f t="shared" si="43"/>
        <v>0</v>
      </c>
      <c r="J163" s="370"/>
      <c r="K163" s="370"/>
      <c r="L163" s="487"/>
      <c r="M163" s="487"/>
      <c r="N163" s="370"/>
      <c r="O163" s="370"/>
      <c r="P163" s="370"/>
      <c r="Q163" s="370"/>
      <c r="Z163" s="207"/>
    </row>
    <row r="164" spans="1:27" x14ac:dyDescent="0.25">
      <c r="H164" s="206">
        <f>SUM(H161:H163)</f>
        <v>0</v>
      </c>
      <c r="J164" s="370"/>
      <c r="K164" s="370"/>
      <c r="L164" s="487"/>
      <c r="M164" s="487"/>
      <c r="N164" s="370"/>
      <c r="O164" s="370"/>
      <c r="P164" s="370"/>
      <c r="Q164" s="370"/>
      <c r="Z164" s="207"/>
    </row>
    <row r="165" spans="1:27" x14ac:dyDescent="0.25">
      <c r="A165" s="371"/>
      <c r="B165" s="371"/>
      <c r="C165" s="371"/>
      <c r="D165" s="371"/>
      <c r="E165" s="371"/>
      <c r="F165" s="371"/>
      <c r="G165" s="371"/>
      <c r="H165" s="371"/>
      <c r="I165" s="16"/>
      <c r="J165" s="344"/>
      <c r="K165" s="345"/>
      <c r="L165" s="345"/>
      <c r="M165" s="345"/>
      <c r="N165" s="629"/>
      <c r="O165" s="629"/>
      <c r="P165" s="347"/>
      <c r="Q165" s="347"/>
    </row>
    <row r="166" spans="1:27" x14ac:dyDescent="0.25">
      <c r="A166" s="624" t="s">
        <v>183</v>
      </c>
      <c r="B166" s="624"/>
      <c r="C166" s="624"/>
      <c r="D166" s="624"/>
      <c r="E166" s="624"/>
      <c r="F166" s="624"/>
      <c r="G166" s="624"/>
      <c r="H166" s="624"/>
      <c r="I166" s="624"/>
      <c r="J166" s="624"/>
      <c r="K166" s="624"/>
      <c r="L166" s="624"/>
      <c r="M166" s="624"/>
      <c r="N166" s="624"/>
      <c r="O166" s="624"/>
      <c r="P166" s="624"/>
      <c r="Q166" s="624"/>
      <c r="R166" s="624"/>
      <c r="S166" s="624"/>
      <c r="T166" s="624"/>
      <c r="U166" s="624"/>
      <c r="V166" s="624"/>
      <c r="W166" s="624"/>
      <c r="X166" s="624"/>
      <c r="Y166" s="624"/>
      <c r="Z166" s="624"/>
      <c r="AA166" s="624"/>
    </row>
    <row r="167" spans="1:27" ht="15.75" thickBot="1" x14ac:dyDescent="0.3">
      <c r="Q167" s="207"/>
    </row>
    <row r="168" spans="1:27" ht="15.75" thickBot="1" x14ac:dyDescent="0.3">
      <c r="A168" s="625" t="s">
        <v>184</v>
      </c>
      <c r="B168" s="626"/>
      <c r="C168" s="626"/>
      <c r="D168" s="626"/>
      <c r="E168" s="626"/>
      <c r="F168" s="626"/>
      <c r="G168" s="626"/>
      <c r="H168" s="627"/>
    </row>
    <row r="169" spans="1:27" ht="25.5" x14ac:dyDescent="0.25">
      <c r="A169" s="101" t="s">
        <v>13</v>
      </c>
      <c r="B169" s="102" t="s">
        <v>45</v>
      </c>
      <c r="C169" s="65" t="s">
        <v>107</v>
      </c>
      <c r="D169" s="65" t="s">
        <v>108</v>
      </c>
      <c r="E169" s="569" t="s">
        <v>15</v>
      </c>
      <c r="F169" s="570"/>
      <c r="G169" s="299" t="s">
        <v>0</v>
      </c>
      <c r="H169" s="299" t="s">
        <v>1</v>
      </c>
    </row>
    <row r="170" spans="1:27" x14ac:dyDescent="0.25">
      <c r="A170" s="7" t="s">
        <v>147</v>
      </c>
      <c r="B170" s="5">
        <v>60</v>
      </c>
      <c r="C170" s="5">
        <v>1.95</v>
      </c>
      <c r="D170" s="5">
        <f>B170*C170</f>
        <v>117</v>
      </c>
      <c r="E170" s="389">
        <f>D170*$Q$31/1000</f>
        <v>1.17</v>
      </c>
      <c r="F170" s="5" t="s">
        <v>25</v>
      </c>
      <c r="G170" s="321"/>
      <c r="H170" s="311">
        <f>D170*G170/1000</f>
        <v>0</v>
      </c>
    </row>
    <row r="171" spans="1:27" x14ac:dyDescent="0.25">
      <c r="H171" s="206">
        <f>SUM(H170:H170)</f>
        <v>0</v>
      </c>
      <c r="I171" s="236"/>
    </row>
    <row r="172" spans="1:27" x14ac:dyDescent="0.25">
      <c r="I172" s="236"/>
      <c r="J172" s="129"/>
      <c r="K172" s="130"/>
      <c r="L172" s="130"/>
      <c r="M172" s="130"/>
      <c r="N172" s="188"/>
      <c r="O172" s="188"/>
      <c r="P172" s="320"/>
      <c r="Q172" s="320"/>
    </row>
    <row r="173" spans="1:27" x14ac:dyDescent="0.25">
      <c r="A173" s="624" t="s">
        <v>62</v>
      </c>
      <c r="B173" s="624"/>
      <c r="C173" s="624"/>
      <c r="D173" s="624"/>
      <c r="E173" s="624"/>
      <c r="F173" s="624"/>
      <c r="G173" s="624"/>
      <c r="H173" s="624"/>
      <c r="I173" s="624"/>
      <c r="J173" s="624"/>
      <c r="K173" s="624"/>
      <c r="L173" s="624"/>
      <c r="M173" s="624"/>
      <c r="N173" s="624"/>
      <c r="O173" s="624"/>
      <c r="P173" s="624"/>
      <c r="Q173" s="624"/>
      <c r="R173" s="624"/>
      <c r="S173" s="624"/>
      <c r="T173" s="624"/>
      <c r="U173" s="624"/>
      <c r="V173" s="624"/>
      <c r="W173" s="624"/>
      <c r="X173" s="624"/>
      <c r="Y173" s="624"/>
      <c r="Z173" s="624"/>
      <c r="AA173" s="624"/>
    </row>
    <row r="174" spans="1:27" ht="15.75" thickBot="1" x14ac:dyDescent="0.3">
      <c r="I174" s="236"/>
      <c r="J174" s="10"/>
      <c r="K174" s="11"/>
      <c r="L174" s="11"/>
      <c r="M174" s="11"/>
      <c r="N174" s="372"/>
      <c r="O174" s="11"/>
      <c r="P174" s="373"/>
      <c r="Q174" s="373"/>
    </row>
    <row r="175" spans="1:27" ht="15.75" thickBot="1" x14ac:dyDescent="0.3">
      <c r="A175" s="625" t="s">
        <v>185</v>
      </c>
      <c r="B175" s="626"/>
      <c r="C175" s="626"/>
      <c r="D175" s="626"/>
      <c r="E175" s="626"/>
      <c r="F175" s="626"/>
      <c r="G175" s="626"/>
      <c r="H175" s="627"/>
    </row>
    <row r="176" spans="1:27" ht="25.5" x14ac:dyDescent="0.25">
      <c r="A176" s="101" t="s">
        <v>13</v>
      </c>
      <c r="B176" s="102" t="s">
        <v>45</v>
      </c>
      <c r="C176" s="65" t="s">
        <v>107</v>
      </c>
      <c r="D176" s="65" t="s">
        <v>108</v>
      </c>
      <c r="E176" s="578" t="s">
        <v>15</v>
      </c>
      <c r="F176" s="578"/>
      <c r="G176" s="299" t="s">
        <v>0</v>
      </c>
      <c r="H176" s="299" t="s">
        <v>1</v>
      </c>
    </row>
    <row r="177" spans="1:34" x14ac:dyDescent="0.25">
      <c r="A177" s="374" t="s">
        <v>186</v>
      </c>
      <c r="B177" s="375">
        <v>10</v>
      </c>
      <c r="C177" s="544">
        <v>1.21</v>
      </c>
      <c r="D177" s="545">
        <f>B177*C177</f>
        <v>12.1</v>
      </c>
      <c r="E177" s="389">
        <f>D177*$Q$31/1000</f>
        <v>0.121</v>
      </c>
      <c r="F177" s="315" t="s">
        <v>25</v>
      </c>
      <c r="G177" s="316"/>
      <c r="H177" s="311">
        <f>D177*G177/1000</f>
        <v>0</v>
      </c>
    </row>
    <row r="178" spans="1:34" x14ac:dyDescent="0.25">
      <c r="A178" s="6" t="s">
        <v>68</v>
      </c>
      <c r="B178" s="5">
        <v>20</v>
      </c>
      <c r="C178" s="523">
        <v>1</v>
      </c>
      <c r="D178" s="545">
        <f t="shared" ref="D178:D189" si="44">B178*C178</f>
        <v>20</v>
      </c>
      <c r="E178" s="389">
        <f>D178*$Q$31/500</f>
        <v>0.4</v>
      </c>
      <c r="F178" s="5" t="s">
        <v>35</v>
      </c>
      <c r="G178" s="311"/>
      <c r="H178" s="311">
        <f>D178*G178/500</f>
        <v>0</v>
      </c>
    </row>
    <row r="179" spans="1:34" x14ac:dyDescent="0.25">
      <c r="A179" s="6" t="s">
        <v>65</v>
      </c>
      <c r="B179" s="5">
        <v>15</v>
      </c>
      <c r="C179" s="523">
        <v>1.1599999999999999</v>
      </c>
      <c r="D179" s="545">
        <f t="shared" si="44"/>
        <v>17.399999999999999</v>
      </c>
      <c r="E179" s="389">
        <f t="shared" ref="E179:E189" si="45">D179*$Q$31/1000</f>
        <v>0.17399999999999999</v>
      </c>
      <c r="F179" s="5" t="s">
        <v>25</v>
      </c>
      <c r="G179" s="311"/>
      <c r="H179" s="311">
        <f t="shared" ref="H179:H189" si="46">D179*G179/1000</f>
        <v>0</v>
      </c>
    </row>
    <row r="180" spans="1:34" x14ac:dyDescent="0.25">
      <c r="A180" s="6" t="s">
        <v>7</v>
      </c>
      <c r="B180" s="5">
        <v>10</v>
      </c>
      <c r="C180" s="523">
        <v>1.18</v>
      </c>
      <c r="D180" s="545">
        <f t="shared" si="44"/>
        <v>11.799999999999999</v>
      </c>
      <c r="E180" s="389">
        <f t="shared" si="45"/>
        <v>0.11799999999999998</v>
      </c>
      <c r="F180" s="5" t="s">
        <v>25</v>
      </c>
      <c r="G180" s="311"/>
      <c r="H180" s="311">
        <f t="shared" si="46"/>
        <v>0</v>
      </c>
    </row>
    <row r="181" spans="1:34" x14ac:dyDescent="0.25">
      <c r="A181" s="6" t="s">
        <v>8</v>
      </c>
      <c r="B181" s="5">
        <v>10</v>
      </c>
      <c r="C181" s="523">
        <v>1.46</v>
      </c>
      <c r="D181" s="545">
        <f t="shared" si="44"/>
        <v>14.6</v>
      </c>
      <c r="E181" s="389">
        <f t="shared" si="45"/>
        <v>0.14599999999999999</v>
      </c>
      <c r="F181" s="5" t="s">
        <v>25</v>
      </c>
      <c r="G181" s="311"/>
      <c r="H181" s="311">
        <f t="shared" si="46"/>
        <v>0</v>
      </c>
    </row>
    <row r="182" spans="1:34" x14ac:dyDescent="0.25">
      <c r="A182" s="6" t="s">
        <v>10</v>
      </c>
      <c r="B182" s="5">
        <v>5</v>
      </c>
      <c r="C182" s="523">
        <v>1.33</v>
      </c>
      <c r="D182" s="545">
        <f t="shared" si="44"/>
        <v>6.65</v>
      </c>
      <c r="E182" s="389">
        <f t="shared" si="45"/>
        <v>6.6500000000000004E-2</v>
      </c>
      <c r="F182" s="5" t="s">
        <v>25</v>
      </c>
      <c r="G182" s="311"/>
      <c r="H182" s="311">
        <f t="shared" si="46"/>
        <v>0</v>
      </c>
    </row>
    <row r="183" spans="1:34" x14ac:dyDescent="0.25">
      <c r="A183" s="6" t="s">
        <v>9</v>
      </c>
      <c r="B183" s="5">
        <v>1</v>
      </c>
      <c r="C183" s="523">
        <v>1.43</v>
      </c>
      <c r="D183" s="545">
        <f t="shared" si="44"/>
        <v>1.43</v>
      </c>
      <c r="E183" s="389">
        <f t="shared" si="45"/>
        <v>1.4299999999999998E-2</v>
      </c>
      <c r="F183" s="5" t="s">
        <v>25</v>
      </c>
      <c r="G183" s="311"/>
      <c r="H183" s="311">
        <f t="shared" si="46"/>
        <v>0</v>
      </c>
    </row>
    <row r="184" spans="1:34" x14ac:dyDescent="0.25">
      <c r="A184" s="6" t="s">
        <v>2</v>
      </c>
      <c r="B184" s="5">
        <v>4</v>
      </c>
      <c r="C184" s="523">
        <v>1.08</v>
      </c>
      <c r="D184" s="545">
        <f t="shared" si="44"/>
        <v>4.32</v>
      </c>
      <c r="E184" s="389">
        <f t="shared" si="45"/>
        <v>4.3200000000000002E-2</v>
      </c>
      <c r="F184" s="5" t="s">
        <v>25</v>
      </c>
      <c r="G184" s="311"/>
      <c r="H184" s="311">
        <f t="shared" si="46"/>
        <v>0</v>
      </c>
    </row>
    <row r="185" spans="1:34" x14ac:dyDescent="0.25">
      <c r="A185" s="6" t="s">
        <v>3</v>
      </c>
      <c r="B185" s="5">
        <v>0.4</v>
      </c>
      <c r="C185" s="523">
        <v>1.18</v>
      </c>
      <c r="D185" s="545">
        <f t="shared" si="44"/>
        <v>0.47199999999999998</v>
      </c>
      <c r="E185" s="389">
        <f t="shared" si="45"/>
        <v>4.7199999999999994E-3</v>
      </c>
      <c r="F185" s="5" t="s">
        <v>25</v>
      </c>
      <c r="G185" s="311"/>
      <c r="H185" s="311">
        <f t="shared" si="46"/>
        <v>0</v>
      </c>
    </row>
    <row r="186" spans="1:34" x14ac:dyDescent="0.25">
      <c r="A186" s="3" t="s">
        <v>12</v>
      </c>
      <c r="B186" s="310">
        <v>0.4</v>
      </c>
      <c r="C186" s="538">
        <v>1.35</v>
      </c>
      <c r="D186" s="545">
        <f t="shared" si="44"/>
        <v>0.54</v>
      </c>
      <c r="E186" s="389">
        <f>D186*$Q$31/30</f>
        <v>0.18000000000000002</v>
      </c>
      <c r="F186" s="309" t="s">
        <v>172</v>
      </c>
      <c r="G186" s="166"/>
      <c r="H186" s="311">
        <f>D186*G186/30</f>
        <v>0</v>
      </c>
    </row>
    <row r="187" spans="1:34" x14ac:dyDescent="0.25">
      <c r="A187" s="90" t="s">
        <v>47</v>
      </c>
      <c r="B187" s="91">
        <v>0.7</v>
      </c>
      <c r="C187" s="543">
        <v>1</v>
      </c>
      <c r="D187" s="545">
        <f t="shared" si="44"/>
        <v>0.7</v>
      </c>
      <c r="E187" s="389">
        <f>D187*$Q$31/100</f>
        <v>7.0000000000000007E-2</v>
      </c>
      <c r="F187" s="14" t="s">
        <v>36</v>
      </c>
      <c r="G187" s="108"/>
      <c r="H187" s="311">
        <f>D187*G187/100</f>
        <v>0</v>
      </c>
    </row>
    <row r="188" spans="1:34" x14ac:dyDescent="0.25">
      <c r="A188" s="6" t="s">
        <v>127</v>
      </c>
      <c r="B188" s="309">
        <v>1</v>
      </c>
      <c r="C188" s="523">
        <v>1</v>
      </c>
      <c r="D188" s="545">
        <f t="shared" si="44"/>
        <v>1</v>
      </c>
      <c r="E188" s="389">
        <f>D188*$Q$31/900</f>
        <v>1.1111111111111112E-2</v>
      </c>
      <c r="F188" s="5" t="s">
        <v>40</v>
      </c>
      <c r="G188" s="311"/>
      <c r="H188" s="311">
        <f>D188*G188/900</f>
        <v>0</v>
      </c>
    </row>
    <row r="189" spans="1:34" x14ac:dyDescent="0.25">
      <c r="A189" s="6" t="s">
        <v>5</v>
      </c>
      <c r="B189" s="309">
        <v>0.5</v>
      </c>
      <c r="C189" s="523">
        <v>1</v>
      </c>
      <c r="D189" s="545">
        <f t="shared" si="44"/>
        <v>0.5</v>
      </c>
      <c r="E189" s="389">
        <f t="shared" si="45"/>
        <v>5.0000000000000001E-3</v>
      </c>
      <c r="F189" s="5" t="s">
        <v>25</v>
      </c>
      <c r="G189" s="311"/>
      <c r="H189" s="311">
        <f t="shared" si="46"/>
        <v>0</v>
      </c>
      <c r="Q189" s="376"/>
      <c r="R189" s="376"/>
      <c r="S189" s="376"/>
      <c r="T189" s="377"/>
      <c r="U189" s="377"/>
      <c r="V189" s="377"/>
    </row>
    <row r="190" spans="1:34" x14ac:dyDescent="0.25">
      <c r="A190" s="13"/>
      <c r="B190" s="11"/>
      <c r="C190" s="11"/>
      <c r="D190" s="11"/>
      <c r="E190" s="378"/>
      <c r="F190" s="330"/>
      <c r="G190" s="365"/>
      <c r="H190" s="379">
        <f>SUM(H177:H189)</f>
        <v>0</v>
      </c>
      <c r="U190" s="377"/>
      <c r="V190" s="377"/>
      <c r="AC190" s="13"/>
      <c r="AD190" s="11"/>
      <c r="AE190" s="378"/>
      <c r="AF190" s="330"/>
      <c r="AG190" s="365"/>
      <c r="AH190" s="311"/>
    </row>
    <row r="191" spans="1:34" x14ac:dyDescent="0.25">
      <c r="A191" s="329"/>
      <c r="B191" s="330"/>
      <c r="C191" s="330"/>
      <c r="D191" s="330"/>
      <c r="E191" s="331"/>
      <c r="F191" s="330"/>
      <c r="H191" s="207"/>
      <c r="K191" s="628" t="s">
        <v>187</v>
      </c>
      <c r="L191" s="628"/>
      <c r="M191" s="628"/>
      <c r="N191" s="366">
        <f>H144+H157+Q156+Z159+H164+H171+H190</f>
        <v>0</v>
      </c>
      <c r="AC191" s="329"/>
      <c r="AD191" s="330"/>
      <c r="AE191" s="331"/>
      <c r="AF191" s="330"/>
      <c r="AH191" s="206">
        <f>SUM(H177:H189)</f>
        <v>0</v>
      </c>
    </row>
    <row r="192" spans="1:34" x14ac:dyDescent="0.25">
      <c r="A192" s="329"/>
      <c r="B192" s="330"/>
      <c r="C192" s="330"/>
      <c r="D192" s="330"/>
      <c r="E192" s="331"/>
      <c r="F192" s="330"/>
      <c r="H192" s="207"/>
      <c r="K192" s="376"/>
      <c r="L192" s="376"/>
      <c r="M192" s="376"/>
      <c r="N192" s="377"/>
      <c r="AC192" s="329"/>
      <c r="AD192" s="330"/>
      <c r="AE192" s="331"/>
      <c r="AF192" s="330"/>
      <c r="AH192" s="207"/>
    </row>
    <row r="193" spans="1:27" ht="25.5" x14ac:dyDescent="0.35">
      <c r="A193" s="630" t="s">
        <v>21</v>
      </c>
      <c r="B193" s="630"/>
      <c r="C193" s="630"/>
      <c r="D193" s="630"/>
      <c r="E193" s="630"/>
      <c r="F193" s="630"/>
      <c r="G193" s="630"/>
      <c r="H193" s="630"/>
      <c r="I193" s="630"/>
      <c r="J193" s="630"/>
      <c r="K193" s="630"/>
      <c r="L193" s="630"/>
      <c r="M193" s="630"/>
      <c r="N193" s="630"/>
      <c r="O193" s="630"/>
      <c r="P193" s="630"/>
      <c r="Q193" s="630"/>
      <c r="R193" s="630"/>
      <c r="S193" s="630"/>
      <c r="T193" s="630"/>
      <c r="U193" s="630"/>
      <c r="V193" s="630"/>
      <c r="W193" s="630"/>
      <c r="X193" s="630"/>
      <c r="Y193" s="630"/>
      <c r="Z193" s="630"/>
      <c r="AA193" s="630"/>
    </row>
    <row r="195" spans="1:27" x14ac:dyDescent="0.25">
      <c r="A195" s="624" t="s">
        <v>59</v>
      </c>
      <c r="B195" s="624"/>
      <c r="C195" s="624"/>
      <c r="D195" s="624"/>
      <c r="E195" s="624"/>
      <c r="F195" s="624"/>
      <c r="G195" s="624"/>
      <c r="H195" s="624"/>
      <c r="I195" s="624"/>
      <c r="J195" s="624"/>
      <c r="K195" s="624"/>
      <c r="L195" s="624"/>
      <c r="M195" s="624"/>
      <c r="N195" s="624"/>
      <c r="O195" s="624"/>
      <c r="P195" s="624"/>
      <c r="Q195" s="624"/>
      <c r="R195" s="624"/>
      <c r="S195" s="624"/>
      <c r="T195" s="624"/>
      <c r="U195" s="624"/>
      <c r="V195" s="624"/>
      <c r="W195" s="624"/>
      <c r="X195" s="624"/>
      <c r="Y195" s="624"/>
      <c r="Z195" s="624"/>
      <c r="AA195" s="624"/>
    </row>
    <row r="196" spans="1:27" ht="15.75" thickBot="1" x14ac:dyDescent="0.3">
      <c r="A196" s="312"/>
      <c r="B196" s="312"/>
      <c r="C196" s="312"/>
      <c r="D196" s="312"/>
      <c r="E196" s="312"/>
      <c r="F196" s="312"/>
      <c r="G196" s="312"/>
      <c r="H196" s="312"/>
    </row>
    <row r="197" spans="1:27" ht="15.75" thickBot="1" x14ac:dyDescent="0.3">
      <c r="A197" s="625" t="s">
        <v>188</v>
      </c>
      <c r="B197" s="626"/>
      <c r="C197" s="626"/>
      <c r="D197" s="626"/>
      <c r="E197" s="626"/>
      <c r="F197" s="626"/>
      <c r="G197" s="626"/>
      <c r="H197" s="627"/>
    </row>
    <row r="198" spans="1:27" ht="25.5" x14ac:dyDescent="0.25">
      <c r="A198" s="299" t="s">
        <v>13</v>
      </c>
      <c r="B198" s="299" t="s">
        <v>17</v>
      </c>
      <c r="C198" s="65" t="s">
        <v>107</v>
      </c>
      <c r="D198" s="65" t="s">
        <v>108</v>
      </c>
      <c r="E198" s="569" t="s">
        <v>15</v>
      </c>
      <c r="F198" s="570"/>
      <c r="G198" s="299" t="s">
        <v>0</v>
      </c>
      <c r="H198" s="299" t="s">
        <v>1</v>
      </c>
      <c r="I198" s="312"/>
      <c r="J198" s="312"/>
      <c r="K198" s="312"/>
      <c r="L198" s="312"/>
      <c r="M198" s="312"/>
      <c r="N198" s="312"/>
      <c r="O198" s="312"/>
      <c r="P198" s="312"/>
      <c r="Q198" s="312"/>
      <c r="R198" s="312"/>
      <c r="S198" s="312"/>
      <c r="T198" s="312"/>
      <c r="U198" s="312"/>
      <c r="V198" s="312"/>
      <c r="W198" s="312"/>
      <c r="X198" s="312"/>
      <c r="Y198" s="312"/>
      <c r="Z198" s="312"/>
      <c r="AA198" s="312"/>
    </row>
    <row r="199" spans="1:27" s="263" customFormat="1" x14ac:dyDescent="0.25">
      <c r="A199" s="6" t="s">
        <v>27</v>
      </c>
      <c r="B199" s="5">
        <v>40</v>
      </c>
      <c r="C199" s="523">
        <v>1.55</v>
      </c>
      <c r="D199" s="522">
        <f>B199*C199</f>
        <v>62</v>
      </c>
      <c r="E199" s="307">
        <f>D199*$Q$31/1000</f>
        <v>0.62</v>
      </c>
      <c r="F199" s="5" t="s">
        <v>25</v>
      </c>
      <c r="G199" s="308"/>
      <c r="H199" s="311">
        <f>D199*G199/1000</f>
        <v>0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5">
      <c r="A200" s="3" t="s">
        <v>31</v>
      </c>
      <c r="B200" s="310">
        <v>30</v>
      </c>
      <c r="C200" s="538">
        <v>1.6</v>
      </c>
      <c r="D200" s="522">
        <f t="shared" ref="D200:D201" si="47">B200*C200</f>
        <v>48</v>
      </c>
      <c r="E200" s="307">
        <f>D200*$Q$31/1000</f>
        <v>0.48</v>
      </c>
      <c r="F200" s="57" t="s">
        <v>16</v>
      </c>
      <c r="G200" s="362"/>
      <c r="H200" s="311">
        <f t="shared" ref="H200" si="48">D200*G200/1000</f>
        <v>0</v>
      </c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1:27" s="16" customFormat="1" ht="16.5" customHeight="1" x14ac:dyDescent="0.35">
      <c r="A201" s="6" t="s">
        <v>157</v>
      </c>
      <c r="B201" s="5">
        <v>10</v>
      </c>
      <c r="C201" s="523">
        <v>1</v>
      </c>
      <c r="D201" s="522">
        <f t="shared" si="47"/>
        <v>10</v>
      </c>
      <c r="E201" s="307">
        <f>D201*$Q$31/400</f>
        <v>0.25</v>
      </c>
      <c r="F201" s="5" t="s">
        <v>161</v>
      </c>
      <c r="G201" s="337"/>
      <c r="H201" s="311">
        <f>D201*G201/400</f>
        <v>0</v>
      </c>
      <c r="I201" s="367"/>
      <c r="J201" s="367"/>
      <c r="K201" s="367"/>
      <c r="L201" s="367"/>
      <c r="M201" s="367"/>
      <c r="N201" s="367"/>
      <c r="O201" s="367"/>
      <c r="P201" s="367"/>
      <c r="Q201" s="367"/>
    </row>
    <row r="202" spans="1:27" s="16" customFormat="1" x14ac:dyDescent="0.25">
      <c r="A202" s="10"/>
      <c r="B202" s="11"/>
      <c r="C202" s="11"/>
      <c r="D202" s="11"/>
      <c r="E202" s="11"/>
      <c r="F202" s="11"/>
      <c r="G202"/>
      <c r="H202" s="134">
        <f>SUM(H199:H201)</f>
        <v>0</v>
      </c>
      <c r="I202" s="298"/>
      <c r="J202" s="298"/>
      <c r="K202" s="298"/>
      <c r="L202" s="488"/>
      <c r="M202" s="488"/>
      <c r="N202" s="298"/>
      <c r="O202" s="298"/>
      <c r="P202" s="298"/>
      <c r="Q202" s="298"/>
    </row>
    <row r="203" spans="1:27" s="16" customFormat="1" x14ac:dyDescent="0.25">
      <c r="A203" s="10"/>
      <c r="B203" s="11"/>
      <c r="C203" s="11"/>
      <c r="D203" s="11"/>
      <c r="E203" s="11"/>
      <c r="F203" s="11"/>
      <c r="G203"/>
      <c r="H203" s="380"/>
    </row>
    <row r="204" spans="1:27" s="16" customFormat="1" x14ac:dyDescent="0.25">
      <c r="A204" s="624" t="s">
        <v>60</v>
      </c>
      <c r="B204" s="624"/>
      <c r="C204" s="624"/>
      <c r="D204" s="624"/>
      <c r="E204" s="624"/>
      <c r="F204" s="624"/>
      <c r="G204" s="624"/>
      <c r="H204" s="624"/>
      <c r="I204" s="624"/>
      <c r="J204" s="624"/>
      <c r="K204" s="624"/>
      <c r="L204" s="624"/>
      <c r="M204" s="624"/>
      <c r="N204" s="624"/>
      <c r="O204" s="624"/>
      <c r="P204" s="624"/>
      <c r="Q204" s="624"/>
      <c r="R204" s="624"/>
      <c r="S204" s="624"/>
      <c r="T204" s="624"/>
      <c r="U204" s="624"/>
      <c r="V204" s="624"/>
      <c r="W204" s="624"/>
      <c r="X204" s="624"/>
      <c r="Y204" s="624"/>
      <c r="Z204" s="624"/>
      <c r="AA204" s="624"/>
    </row>
    <row r="205" spans="1:27" s="16" customFormat="1" ht="15.75" thickBot="1" x14ac:dyDescent="0.3">
      <c r="A205" s="371"/>
      <c r="B205" s="371"/>
      <c r="C205" s="371"/>
      <c r="D205" s="371"/>
      <c r="E205" s="371"/>
      <c r="F205" s="371"/>
      <c r="G205" s="371"/>
      <c r="H205" s="371"/>
      <c r="I205"/>
      <c r="J205" s="129"/>
      <c r="K205" s="130"/>
      <c r="L205" s="130"/>
      <c r="M205" s="130"/>
      <c r="N205" s="571"/>
      <c r="O205" s="571"/>
      <c r="P205" s="320"/>
      <c r="Q205" s="320"/>
      <c r="R205"/>
      <c r="S205"/>
      <c r="T205"/>
      <c r="U205"/>
      <c r="V205"/>
      <c r="W205"/>
      <c r="X205"/>
      <c r="Y205"/>
      <c r="Z205"/>
      <c r="AA205"/>
    </row>
    <row r="206" spans="1:27" ht="15.75" thickBot="1" x14ac:dyDescent="0.3">
      <c r="A206" s="625" t="s">
        <v>175</v>
      </c>
      <c r="B206" s="626"/>
      <c r="C206" s="626"/>
      <c r="D206" s="626"/>
      <c r="E206" s="626"/>
      <c r="F206" s="626"/>
      <c r="G206" s="626"/>
      <c r="H206" s="627"/>
      <c r="J206" s="625" t="s">
        <v>61</v>
      </c>
      <c r="K206" s="626"/>
      <c r="L206" s="626"/>
      <c r="M206" s="626"/>
      <c r="N206" s="626"/>
      <c r="O206" s="626"/>
      <c r="P206" s="626"/>
      <c r="Q206" s="627"/>
      <c r="S206" s="625" t="s">
        <v>104</v>
      </c>
      <c r="T206" s="626"/>
      <c r="U206" s="626"/>
      <c r="V206" s="626"/>
      <c r="W206" s="626"/>
      <c r="X206" s="626"/>
      <c r="Y206" s="626"/>
      <c r="Z206" s="627"/>
    </row>
    <row r="207" spans="1:27" s="318" customFormat="1" ht="38.25" x14ac:dyDescent="0.25">
      <c r="A207" s="102" t="s">
        <v>13</v>
      </c>
      <c r="B207" s="102" t="s">
        <v>14</v>
      </c>
      <c r="C207" s="65" t="s">
        <v>107</v>
      </c>
      <c r="D207" s="65" t="s">
        <v>108</v>
      </c>
      <c r="E207" s="579" t="s">
        <v>15</v>
      </c>
      <c r="F207" s="580"/>
      <c r="G207" s="101" t="s">
        <v>0</v>
      </c>
      <c r="H207" s="101" t="s">
        <v>1</v>
      </c>
      <c r="I207" s="371"/>
      <c r="J207" s="101" t="s">
        <v>13</v>
      </c>
      <c r="K207" s="102" t="s">
        <v>170</v>
      </c>
      <c r="L207" s="65" t="s">
        <v>107</v>
      </c>
      <c r="M207" s="65" t="s">
        <v>108</v>
      </c>
      <c r="N207" s="569" t="s">
        <v>15</v>
      </c>
      <c r="O207" s="570"/>
      <c r="P207" s="299" t="s">
        <v>0</v>
      </c>
      <c r="Q207" s="299" t="s">
        <v>1</v>
      </c>
      <c r="R207" s="353"/>
      <c r="S207" s="101" t="s">
        <v>13</v>
      </c>
      <c r="T207" s="102" t="s">
        <v>45</v>
      </c>
      <c r="U207" s="65" t="s">
        <v>107</v>
      </c>
      <c r="V207" s="65" t="s">
        <v>108</v>
      </c>
      <c r="W207" s="579" t="s">
        <v>15</v>
      </c>
      <c r="X207" s="580"/>
      <c r="Y207" s="299" t="s">
        <v>0</v>
      </c>
      <c r="Z207" s="299" t="s">
        <v>1</v>
      </c>
      <c r="AA207" s="371"/>
    </row>
    <row r="208" spans="1:27" x14ac:dyDescent="0.25">
      <c r="A208" s="7" t="s">
        <v>66</v>
      </c>
      <c r="B208" s="306">
        <v>15</v>
      </c>
      <c r="C208" s="538">
        <v>1.21</v>
      </c>
      <c r="D208" s="520">
        <f>B208*C208</f>
        <v>18.149999999999999</v>
      </c>
      <c r="E208" s="307">
        <f>D208*$Q$31/1000</f>
        <v>0.18149999999999999</v>
      </c>
      <c r="F208" s="211" t="s">
        <v>16</v>
      </c>
      <c r="G208" s="311"/>
      <c r="H208" s="311">
        <f>D208*G208/1000</f>
        <v>0</v>
      </c>
      <c r="J208" s="7" t="s">
        <v>63</v>
      </c>
      <c r="K208" s="5">
        <v>20</v>
      </c>
      <c r="L208" s="523">
        <v>1</v>
      </c>
      <c r="M208" s="522">
        <f>K208*L208</f>
        <v>20</v>
      </c>
      <c r="N208" s="307">
        <f>M208*$Q$31/1000</f>
        <v>0.2</v>
      </c>
      <c r="O208" s="5" t="s">
        <v>25</v>
      </c>
      <c r="P208" s="308"/>
      <c r="Q208" s="201">
        <f>M208*P208/1000</f>
        <v>0</v>
      </c>
      <c r="R208" s="353"/>
      <c r="S208" s="3" t="s">
        <v>41</v>
      </c>
      <c r="T208" s="306">
        <v>15</v>
      </c>
      <c r="U208" s="538">
        <v>1</v>
      </c>
      <c r="V208" s="520">
        <f>T208*U208</f>
        <v>15</v>
      </c>
      <c r="W208" s="307">
        <f>V208*$Q$31/1000</f>
        <v>0.15</v>
      </c>
      <c r="X208" s="309" t="s">
        <v>25</v>
      </c>
      <c r="Y208" s="308"/>
      <c r="Z208" s="201">
        <f>V208*Y208/1000</f>
        <v>0</v>
      </c>
    </row>
    <row r="209" spans="1:27" x14ac:dyDescent="0.25">
      <c r="A209" s="7" t="s">
        <v>2</v>
      </c>
      <c r="B209" s="310">
        <v>4</v>
      </c>
      <c r="C209" s="538">
        <v>1.08</v>
      </c>
      <c r="D209" s="520">
        <f t="shared" ref="D209:D218" si="49">B209*C209</f>
        <v>4.32</v>
      </c>
      <c r="E209" s="307">
        <f t="shared" ref="E209:E218" si="50">D209*$Q$31/1000</f>
        <v>4.3200000000000002E-2</v>
      </c>
      <c r="F209" s="211" t="s">
        <v>16</v>
      </c>
      <c r="G209" s="311"/>
      <c r="H209" s="311">
        <f t="shared" ref="H209:H210" si="51">D209*G209/1000</f>
        <v>0</v>
      </c>
      <c r="J209" s="6" t="s">
        <v>5</v>
      </c>
      <c r="K209" s="5">
        <v>0.5</v>
      </c>
      <c r="L209" s="523">
        <v>1</v>
      </c>
      <c r="M209" s="522">
        <f t="shared" ref="M209:M212" si="52">K209*L209</f>
        <v>0.5</v>
      </c>
      <c r="N209" s="307">
        <f t="shared" ref="N209:N211" si="53">M209*$Q$31/1000</f>
        <v>5.0000000000000001E-3</v>
      </c>
      <c r="O209" s="5" t="s">
        <v>25</v>
      </c>
      <c r="P209" s="308"/>
      <c r="Q209" s="201">
        <f t="shared" ref="Q209:Q211" si="54">M209*P209/1000</f>
        <v>0</v>
      </c>
      <c r="R209" s="353"/>
      <c r="S209" s="104" t="s">
        <v>52</v>
      </c>
      <c r="T209" s="96">
        <v>10</v>
      </c>
      <c r="U209" s="540">
        <v>1.1599999999999999</v>
      </c>
      <c r="V209" s="520">
        <f t="shared" ref="V209:V216" si="55">T209*U209</f>
        <v>11.6</v>
      </c>
      <c r="W209" s="307">
        <f t="shared" ref="W209:W216" si="56">V209*$Q$31/1000</f>
        <v>0.11600000000000001</v>
      </c>
      <c r="X209" s="91" t="s">
        <v>25</v>
      </c>
      <c r="Y209" s="106"/>
      <c r="Z209" s="201">
        <f t="shared" ref="Z209:Z212" si="57">V209*Y209/1000</f>
        <v>0</v>
      </c>
    </row>
    <row r="210" spans="1:27" x14ac:dyDescent="0.25">
      <c r="A210" s="6" t="s">
        <v>9</v>
      </c>
      <c r="B210" s="309">
        <v>1</v>
      </c>
      <c r="C210" s="523">
        <v>1.43</v>
      </c>
      <c r="D210" s="520">
        <f t="shared" si="49"/>
        <v>1.43</v>
      </c>
      <c r="E210" s="307">
        <f t="shared" si="50"/>
        <v>1.4299999999999998E-2</v>
      </c>
      <c r="F210" s="5" t="s">
        <v>25</v>
      </c>
      <c r="G210" s="311"/>
      <c r="H210" s="311">
        <f t="shared" si="51"/>
        <v>0</v>
      </c>
      <c r="I210" s="16"/>
      <c r="J210" s="6" t="s">
        <v>3</v>
      </c>
      <c r="K210" s="5">
        <v>0.4</v>
      </c>
      <c r="L210" s="523">
        <v>1.18</v>
      </c>
      <c r="M210" s="522">
        <f t="shared" si="52"/>
        <v>0.47199999999999998</v>
      </c>
      <c r="N210" s="307">
        <f t="shared" si="53"/>
        <v>4.7199999999999994E-3</v>
      </c>
      <c r="O210" s="5" t="s">
        <v>25</v>
      </c>
      <c r="P210" s="308"/>
      <c r="Q210" s="201">
        <f t="shared" si="54"/>
        <v>0</v>
      </c>
      <c r="R210" s="353"/>
      <c r="S210" s="3" t="s">
        <v>51</v>
      </c>
      <c r="T210" s="306">
        <v>15</v>
      </c>
      <c r="U210" s="538">
        <v>1.35</v>
      </c>
      <c r="V210" s="520">
        <f t="shared" si="55"/>
        <v>20.25</v>
      </c>
      <c r="W210" s="307">
        <f t="shared" si="56"/>
        <v>0.20250000000000001</v>
      </c>
      <c r="X210" s="309" t="s">
        <v>25</v>
      </c>
      <c r="Y210" s="311"/>
      <c r="Z210" s="201">
        <f t="shared" si="57"/>
        <v>0</v>
      </c>
    </row>
    <row r="211" spans="1:27" x14ac:dyDescent="0.25">
      <c r="A211" s="3" t="s">
        <v>12</v>
      </c>
      <c r="B211" s="310">
        <v>0.4</v>
      </c>
      <c r="C211" s="538">
        <v>1.35</v>
      </c>
      <c r="D211" s="520">
        <f t="shared" si="49"/>
        <v>0.54</v>
      </c>
      <c r="E211" s="307">
        <f>D211*$Q$31/30</f>
        <v>0.18000000000000002</v>
      </c>
      <c r="F211" s="309" t="s">
        <v>172</v>
      </c>
      <c r="G211" s="166"/>
      <c r="H211" s="311">
        <f>D211*G211/30</f>
        <v>0</v>
      </c>
      <c r="I211" s="16"/>
      <c r="J211" s="6" t="s">
        <v>2</v>
      </c>
      <c r="K211" s="5">
        <v>4</v>
      </c>
      <c r="L211" s="523">
        <v>1.08</v>
      </c>
      <c r="M211" s="522">
        <f t="shared" si="52"/>
        <v>4.32</v>
      </c>
      <c r="N211" s="307">
        <f t="shared" si="53"/>
        <v>4.3200000000000002E-2</v>
      </c>
      <c r="O211" s="5" t="s">
        <v>25</v>
      </c>
      <c r="P211" s="308"/>
      <c r="Q211" s="201">
        <f t="shared" si="54"/>
        <v>0</v>
      </c>
      <c r="R211" s="353"/>
      <c r="S211" s="3" t="s">
        <v>2</v>
      </c>
      <c r="T211" s="306">
        <v>4</v>
      </c>
      <c r="U211" s="538">
        <v>1.08</v>
      </c>
      <c r="V211" s="520">
        <f t="shared" si="55"/>
        <v>4.32</v>
      </c>
      <c r="W211" s="307">
        <f t="shared" si="56"/>
        <v>4.3200000000000002E-2</v>
      </c>
      <c r="X211" s="309" t="s">
        <v>25</v>
      </c>
      <c r="Y211" s="311"/>
      <c r="Z211" s="201">
        <f t="shared" si="57"/>
        <v>0</v>
      </c>
    </row>
    <row r="212" spans="1:27" x14ac:dyDescent="0.25">
      <c r="A212" s="7" t="s">
        <v>3</v>
      </c>
      <c r="B212" s="310">
        <v>0.4</v>
      </c>
      <c r="C212" s="538">
        <v>1.18</v>
      </c>
      <c r="D212" s="520">
        <f t="shared" si="49"/>
        <v>0.47199999999999998</v>
      </c>
      <c r="E212" s="307">
        <f t="shared" si="50"/>
        <v>4.7199999999999994E-3</v>
      </c>
      <c r="F212" s="328" t="s">
        <v>16</v>
      </c>
      <c r="G212" s="340"/>
      <c r="H212" s="311">
        <f t="shared" ref="H212" si="58">D212*G212/1000</f>
        <v>0</v>
      </c>
      <c r="I212" s="16"/>
      <c r="J212" s="6" t="s">
        <v>127</v>
      </c>
      <c r="K212" s="5">
        <v>1</v>
      </c>
      <c r="L212" s="523">
        <v>1</v>
      </c>
      <c r="M212" s="522">
        <f t="shared" si="52"/>
        <v>1</v>
      </c>
      <c r="N212" s="307">
        <f>M212*$Q$31/900</f>
        <v>1.1111111111111112E-2</v>
      </c>
      <c r="O212" s="5" t="s">
        <v>40</v>
      </c>
      <c r="P212" s="308"/>
      <c r="Q212" s="201">
        <f>M212*P212/900</f>
        <v>0</v>
      </c>
      <c r="R212" s="353"/>
      <c r="S212" s="3" t="s">
        <v>3</v>
      </c>
      <c r="T212" s="306">
        <v>0.4</v>
      </c>
      <c r="U212" s="538">
        <v>1.18</v>
      </c>
      <c r="V212" s="520">
        <f t="shared" si="55"/>
        <v>0.47199999999999998</v>
      </c>
      <c r="W212" s="307">
        <f t="shared" si="56"/>
        <v>4.7199999999999994E-3</v>
      </c>
      <c r="X212" s="309" t="s">
        <v>25</v>
      </c>
      <c r="Y212" s="308"/>
      <c r="Z212" s="201">
        <f t="shared" si="57"/>
        <v>0</v>
      </c>
    </row>
    <row r="213" spans="1:27" x14ac:dyDescent="0.25">
      <c r="A213" s="7" t="s">
        <v>4</v>
      </c>
      <c r="B213" s="310">
        <v>2</v>
      </c>
      <c r="C213" s="538">
        <v>1</v>
      </c>
      <c r="D213" s="520">
        <f t="shared" si="49"/>
        <v>2</v>
      </c>
      <c r="E213" s="307">
        <f>D213*$Q$31/900</f>
        <v>2.2222222222222223E-2</v>
      </c>
      <c r="F213" s="328" t="s">
        <v>131</v>
      </c>
      <c r="G213" s="340"/>
      <c r="H213" s="311">
        <f>D213*G213/900</f>
        <v>0</v>
      </c>
      <c r="I213" s="16"/>
      <c r="Q213" s="206">
        <f>SUM(Q208:Q212)</f>
        <v>0</v>
      </c>
      <c r="R213" s="353"/>
      <c r="S213" s="3" t="s">
        <v>127</v>
      </c>
      <c r="T213" s="306">
        <v>1</v>
      </c>
      <c r="U213" s="538">
        <v>1</v>
      </c>
      <c r="V213" s="520">
        <f t="shared" si="55"/>
        <v>1</v>
      </c>
      <c r="W213" s="307">
        <f>V213*$Q$31/900</f>
        <v>1.1111111111111112E-2</v>
      </c>
      <c r="X213" s="5" t="s">
        <v>40</v>
      </c>
      <c r="Y213" s="311"/>
      <c r="Z213" s="201">
        <f>V213*Y213/900</f>
        <v>0</v>
      </c>
    </row>
    <row r="214" spans="1:27" x14ac:dyDescent="0.25">
      <c r="A214" s="7" t="s">
        <v>5</v>
      </c>
      <c r="B214" s="310">
        <v>0.5</v>
      </c>
      <c r="C214" s="538">
        <v>1</v>
      </c>
      <c r="D214" s="520">
        <f t="shared" si="49"/>
        <v>0.5</v>
      </c>
      <c r="E214" s="307">
        <f t="shared" si="50"/>
        <v>5.0000000000000001E-3</v>
      </c>
      <c r="F214" s="211" t="s">
        <v>16</v>
      </c>
      <c r="G214" s="340"/>
      <c r="H214" s="311">
        <f t="shared" ref="H214" si="59">D214*G214/1000</f>
        <v>0</v>
      </c>
      <c r="I214" s="16"/>
      <c r="R214" s="353"/>
      <c r="S214" s="104" t="s">
        <v>10</v>
      </c>
      <c r="T214" s="96">
        <v>5</v>
      </c>
      <c r="U214" s="540">
        <v>1.33</v>
      </c>
      <c r="V214" s="520">
        <f t="shared" si="55"/>
        <v>6.65</v>
      </c>
      <c r="W214" s="307">
        <f t="shared" si="56"/>
        <v>6.6500000000000004E-2</v>
      </c>
      <c r="X214" s="91" t="s">
        <v>25</v>
      </c>
      <c r="Y214" s="108"/>
      <c r="Z214" s="201">
        <f>V214*Y214/1000</f>
        <v>0</v>
      </c>
    </row>
    <row r="215" spans="1:27" x14ac:dyDescent="0.25">
      <c r="A215" s="7" t="s">
        <v>47</v>
      </c>
      <c r="B215" s="310">
        <v>0.7</v>
      </c>
      <c r="C215" s="538">
        <v>1</v>
      </c>
      <c r="D215" s="520">
        <f t="shared" si="49"/>
        <v>0.7</v>
      </c>
      <c r="E215" s="307">
        <f>D215*$Q$31/100</f>
        <v>7.0000000000000007E-2</v>
      </c>
      <c r="F215" s="211" t="s">
        <v>132</v>
      </c>
      <c r="G215" s="340"/>
      <c r="H215" s="311">
        <f>D215*G215/100</f>
        <v>0</v>
      </c>
      <c r="I215" s="16"/>
      <c r="R215" s="353"/>
      <c r="S215" s="3" t="s">
        <v>12</v>
      </c>
      <c r="T215" s="306">
        <v>0.4</v>
      </c>
      <c r="U215" s="538">
        <v>1.35</v>
      </c>
      <c r="V215" s="520">
        <f t="shared" si="55"/>
        <v>0.54</v>
      </c>
      <c r="W215" s="307">
        <f>V215*$Q$31/30</f>
        <v>0.18000000000000002</v>
      </c>
      <c r="X215" s="309" t="s">
        <v>39</v>
      </c>
      <c r="Y215" s="311"/>
      <c r="Z215" s="201">
        <f>V215*Y215/30</f>
        <v>0</v>
      </c>
    </row>
    <row r="216" spans="1:27" x14ac:dyDescent="0.25">
      <c r="A216" s="7" t="s">
        <v>10</v>
      </c>
      <c r="B216" s="306">
        <v>5</v>
      </c>
      <c r="C216" s="538">
        <v>1.33</v>
      </c>
      <c r="D216" s="520">
        <f t="shared" si="49"/>
        <v>6.65</v>
      </c>
      <c r="E216" s="307">
        <f t="shared" si="50"/>
        <v>6.6500000000000004E-2</v>
      </c>
      <c r="F216" s="211" t="s">
        <v>16</v>
      </c>
      <c r="G216" s="340"/>
      <c r="H216" s="311">
        <f t="shared" ref="H216:H218" si="60">D216*G216/1000</f>
        <v>0</v>
      </c>
      <c r="I216" s="16"/>
      <c r="R216" s="353"/>
      <c r="S216" s="3" t="s">
        <v>5</v>
      </c>
      <c r="T216" s="306">
        <v>0.5</v>
      </c>
      <c r="U216" s="538">
        <v>1</v>
      </c>
      <c r="V216" s="520">
        <f t="shared" si="55"/>
        <v>0.5</v>
      </c>
      <c r="W216" s="307">
        <f t="shared" si="56"/>
        <v>5.0000000000000001E-3</v>
      </c>
      <c r="X216" s="309" t="s">
        <v>25</v>
      </c>
      <c r="Y216" s="311"/>
      <c r="Z216" s="201">
        <f t="shared" ref="Z216" si="61">V216*Y216/1000</f>
        <v>0</v>
      </c>
    </row>
    <row r="217" spans="1:27" x14ac:dyDescent="0.25">
      <c r="A217" s="7" t="s">
        <v>11</v>
      </c>
      <c r="B217" s="306">
        <v>15</v>
      </c>
      <c r="C217" s="538">
        <v>1.35</v>
      </c>
      <c r="D217" s="520">
        <f t="shared" si="49"/>
        <v>20.25</v>
      </c>
      <c r="E217" s="307">
        <f t="shared" si="50"/>
        <v>0.20250000000000001</v>
      </c>
      <c r="F217" s="211" t="s">
        <v>16</v>
      </c>
      <c r="G217" s="340"/>
      <c r="H217" s="311">
        <f t="shared" si="60"/>
        <v>0</v>
      </c>
      <c r="I217" s="16"/>
      <c r="R217" s="353"/>
      <c r="Z217" s="206">
        <f>SUM(Z208:Z216)</f>
        <v>0</v>
      </c>
    </row>
    <row r="218" spans="1:27" x14ac:dyDescent="0.25">
      <c r="A218" s="7" t="s">
        <v>52</v>
      </c>
      <c r="B218" s="306">
        <v>10</v>
      </c>
      <c r="C218" s="538">
        <v>1.1599999999999999</v>
      </c>
      <c r="D218" s="520">
        <f t="shared" si="49"/>
        <v>11.6</v>
      </c>
      <c r="E218" s="307">
        <f t="shared" si="50"/>
        <v>0.11600000000000001</v>
      </c>
      <c r="F218" s="211" t="s">
        <v>16</v>
      </c>
      <c r="G218" s="340"/>
      <c r="H218" s="311">
        <f t="shared" si="60"/>
        <v>0</v>
      </c>
      <c r="I218" s="16"/>
      <c r="Z218" s="207"/>
    </row>
    <row r="219" spans="1:27" x14ac:dyDescent="0.25">
      <c r="H219" s="206">
        <f>SUM(H208:H218)</f>
        <v>0</v>
      </c>
      <c r="I219" s="16"/>
      <c r="Z219" s="207"/>
    </row>
    <row r="220" spans="1:27" x14ac:dyDescent="0.25">
      <c r="H220" s="207"/>
      <c r="I220" s="16"/>
      <c r="Z220" s="207"/>
    </row>
    <row r="221" spans="1:27" x14ac:dyDescent="0.25">
      <c r="A221" s="624" t="s">
        <v>145</v>
      </c>
      <c r="B221" s="624"/>
      <c r="C221" s="624"/>
      <c r="D221" s="624"/>
      <c r="E221" s="624"/>
      <c r="F221" s="624"/>
      <c r="G221" s="624"/>
      <c r="H221" s="624"/>
      <c r="I221" s="624"/>
      <c r="J221" s="624"/>
      <c r="K221" s="624"/>
      <c r="L221" s="624"/>
      <c r="M221" s="624"/>
      <c r="N221" s="624"/>
      <c r="O221" s="624"/>
      <c r="P221" s="624"/>
      <c r="Q221" s="624"/>
      <c r="R221" s="624"/>
      <c r="S221" s="624"/>
      <c r="T221" s="624"/>
      <c r="U221" s="624"/>
      <c r="V221" s="624"/>
      <c r="W221" s="624"/>
      <c r="X221" s="624"/>
      <c r="Y221" s="624"/>
      <c r="Z221" s="624"/>
      <c r="AA221" s="624"/>
    </row>
    <row r="222" spans="1:27" ht="15.75" thickBot="1" x14ac:dyDescent="0.3">
      <c r="I222" s="16"/>
      <c r="R222" s="353"/>
      <c r="S222" s="349"/>
      <c r="T222" s="356"/>
      <c r="U222" s="356"/>
      <c r="V222" s="356"/>
    </row>
    <row r="223" spans="1:27" ht="15.75" thickBot="1" x14ac:dyDescent="0.3">
      <c r="A223" s="625" t="s">
        <v>189</v>
      </c>
      <c r="B223" s="626"/>
      <c r="C223" s="626"/>
      <c r="D223" s="626"/>
      <c r="E223" s="626"/>
      <c r="F223" s="626"/>
      <c r="G223" s="626"/>
      <c r="H223" s="627"/>
    </row>
    <row r="224" spans="1:27" ht="25.5" x14ac:dyDescent="0.25">
      <c r="A224" s="101" t="s">
        <v>13</v>
      </c>
      <c r="B224" s="102" t="s">
        <v>45</v>
      </c>
      <c r="C224" s="65" t="s">
        <v>107</v>
      </c>
      <c r="D224" s="65" t="s">
        <v>108</v>
      </c>
      <c r="E224" s="569" t="s">
        <v>15</v>
      </c>
      <c r="F224" s="570"/>
      <c r="G224" s="299" t="s">
        <v>0</v>
      </c>
      <c r="H224" s="299" t="s">
        <v>1</v>
      </c>
      <c r="I224" s="381"/>
    </row>
    <row r="225" spans="1:27" x14ac:dyDescent="0.25">
      <c r="A225" s="6" t="s">
        <v>190</v>
      </c>
      <c r="B225" s="5">
        <v>40</v>
      </c>
      <c r="C225" s="542">
        <v>1</v>
      </c>
      <c r="D225" s="527">
        <f>B225*C225</f>
        <v>40</v>
      </c>
      <c r="E225" s="307">
        <f>D225*$Q$31/1000</f>
        <v>0.4</v>
      </c>
      <c r="F225" s="309" t="s">
        <v>25</v>
      </c>
      <c r="G225" s="308"/>
      <c r="H225" s="201">
        <f>D225*G225/1000</f>
        <v>0</v>
      </c>
      <c r="I225" s="381"/>
    </row>
    <row r="226" spans="1:27" x14ac:dyDescent="0.25">
      <c r="A226" s="6" t="s">
        <v>28</v>
      </c>
      <c r="B226" s="309">
        <v>10</v>
      </c>
      <c r="C226" s="542">
        <v>1</v>
      </c>
      <c r="D226" s="527">
        <f>B226*C226</f>
        <v>10</v>
      </c>
      <c r="E226" s="307">
        <f>D226*$Q$31/1000</f>
        <v>0.1</v>
      </c>
      <c r="F226" s="309" t="s">
        <v>25</v>
      </c>
      <c r="G226" s="311"/>
      <c r="H226" s="201">
        <f>D226*G226/1000</f>
        <v>0</v>
      </c>
      <c r="I226" s="381"/>
    </row>
    <row r="227" spans="1:27" x14ac:dyDescent="0.25">
      <c r="A227" s="13"/>
      <c r="B227" s="12"/>
      <c r="C227" s="12"/>
      <c r="D227" s="12"/>
      <c r="E227" s="158"/>
      <c r="F227" s="361"/>
      <c r="G227" s="41"/>
      <c r="H227" s="243">
        <f>SUM(H225:H226)</f>
        <v>0</v>
      </c>
      <c r="I227" s="312"/>
      <c r="R227" s="263"/>
    </row>
    <row r="228" spans="1:27" x14ac:dyDescent="0.25">
      <c r="A228" s="13"/>
      <c r="B228" s="330"/>
      <c r="C228" s="330"/>
      <c r="D228" s="330"/>
      <c r="E228" s="382"/>
      <c r="F228" s="330"/>
      <c r="G228" s="383"/>
      <c r="H228" s="373"/>
    </row>
    <row r="229" spans="1:27" x14ac:dyDescent="0.25">
      <c r="A229" s="624" t="s">
        <v>62</v>
      </c>
      <c r="B229" s="624"/>
      <c r="C229" s="624"/>
      <c r="D229" s="624"/>
      <c r="E229" s="624"/>
      <c r="F229" s="624"/>
      <c r="G229" s="624"/>
      <c r="H229" s="624"/>
      <c r="I229" s="624"/>
      <c r="J229" s="624"/>
      <c r="K229" s="624"/>
      <c r="L229" s="624"/>
      <c r="M229" s="624"/>
      <c r="N229" s="624"/>
      <c r="O229" s="624"/>
      <c r="P229" s="624"/>
      <c r="Q229" s="624"/>
      <c r="R229" s="624"/>
      <c r="S229" s="624"/>
      <c r="T229" s="624"/>
      <c r="U229" s="624"/>
      <c r="V229" s="624"/>
      <c r="W229" s="624"/>
      <c r="X229" s="624"/>
      <c r="Y229" s="624"/>
      <c r="Z229" s="624"/>
      <c r="AA229" s="624"/>
    </row>
    <row r="230" spans="1:27" ht="15.75" thickBot="1" x14ac:dyDescent="0.3"/>
    <row r="231" spans="1:27" ht="15.75" thickBot="1" x14ac:dyDescent="0.3">
      <c r="A231" s="625" t="s">
        <v>191</v>
      </c>
      <c r="B231" s="626"/>
      <c r="C231" s="626"/>
      <c r="D231" s="626"/>
      <c r="E231" s="626"/>
      <c r="F231" s="626"/>
      <c r="G231" s="626"/>
      <c r="H231" s="627"/>
    </row>
    <row r="232" spans="1:27" ht="25.5" x14ac:dyDescent="0.25">
      <c r="A232" s="101" t="s">
        <v>13</v>
      </c>
      <c r="B232" s="102" t="s">
        <v>45</v>
      </c>
      <c r="C232" s="65" t="s">
        <v>107</v>
      </c>
      <c r="D232" s="65" t="s">
        <v>108</v>
      </c>
      <c r="E232" s="569" t="s">
        <v>15</v>
      </c>
      <c r="F232" s="570"/>
      <c r="G232" s="299" t="s">
        <v>0</v>
      </c>
      <c r="H232" s="299" t="s">
        <v>1</v>
      </c>
      <c r="J232" s="300"/>
      <c r="K232" s="300"/>
      <c r="L232" s="300"/>
      <c r="M232" s="300"/>
      <c r="N232" s="300"/>
      <c r="O232" s="300"/>
      <c r="P232" s="300"/>
      <c r="Q232" s="300"/>
    </row>
    <row r="233" spans="1:27" x14ac:dyDescent="0.25">
      <c r="A233" s="6" t="s">
        <v>68</v>
      </c>
      <c r="B233" s="5">
        <v>20</v>
      </c>
      <c r="C233" s="542">
        <v>1</v>
      </c>
      <c r="D233" s="527">
        <f>B233*C233</f>
        <v>20</v>
      </c>
      <c r="E233" s="307">
        <f>D233*$Q$31/500</f>
        <v>0.4</v>
      </c>
      <c r="F233" s="5" t="s">
        <v>35</v>
      </c>
      <c r="G233" s="311"/>
      <c r="H233" s="311">
        <f>D233*G233/500</f>
        <v>0</v>
      </c>
      <c r="I233" s="236"/>
      <c r="J233" s="633"/>
      <c r="K233" s="633"/>
      <c r="L233" s="633"/>
      <c r="M233" s="633"/>
      <c r="N233" s="633"/>
      <c r="O233" s="633"/>
      <c r="P233" s="633"/>
      <c r="Q233" s="633"/>
    </row>
    <row r="234" spans="1:27" x14ac:dyDescent="0.25">
      <c r="A234" s="6" t="s">
        <v>52</v>
      </c>
      <c r="B234" s="5">
        <v>10</v>
      </c>
      <c r="C234" s="542">
        <v>1.1599999999999999</v>
      </c>
      <c r="D234" s="527">
        <f t="shared" ref="D234:D244" si="62">B234*C234</f>
        <v>11.6</v>
      </c>
      <c r="E234" s="307">
        <f>D234*$Q$31/1000</f>
        <v>0.11600000000000001</v>
      </c>
      <c r="F234" s="5" t="s">
        <v>25</v>
      </c>
      <c r="G234" s="311"/>
      <c r="H234" s="311">
        <f>D234*G234/1000</f>
        <v>0</v>
      </c>
      <c r="I234" s="236"/>
      <c r="J234" s="529"/>
      <c r="K234" s="345"/>
      <c r="L234" s="345"/>
      <c r="M234" s="345"/>
      <c r="N234" s="629"/>
      <c r="O234" s="629"/>
      <c r="P234" s="347"/>
      <c r="Q234" s="347"/>
    </row>
    <row r="235" spans="1:27" x14ac:dyDescent="0.25">
      <c r="A235" s="6" t="s">
        <v>11</v>
      </c>
      <c r="B235" s="5">
        <v>15</v>
      </c>
      <c r="C235" s="542">
        <v>1.35</v>
      </c>
      <c r="D235" s="527">
        <f t="shared" si="62"/>
        <v>20.25</v>
      </c>
      <c r="E235" s="307">
        <f t="shared" ref="E235:E244" si="63">D235*$Q$31/1000</f>
        <v>0.20250000000000001</v>
      </c>
      <c r="F235" s="5" t="s">
        <v>25</v>
      </c>
      <c r="G235" s="311"/>
      <c r="H235" s="311">
        <f t="shared" ref="H235:H244" si="64">D235*G235/1000</f>
        <v>0</v>
      </c>
      <c r="I235" s="236"/>
      <c r="J235" s="348"/>
      <c r="K235" s="317"/>
      <c r="L235" s="317"/>
      <c r="M235" s="317"/>
      <c r="N235" s="350"/>
      <c r="O235" s="317"/>
      <c r="P235" s="384"/>
      <c r="Q235" s="351"/>
    </row>
    <row r="236" spans="1:27" x14ac:dyDescent="0.25">
      <c r="A236" s="6" t="s">
        <v>8</v>
      </c>
      <c r="B236" s="5">
        <v>10</v>
      </c>
      <c r="C236" s="542">
        <v>1.46</v>
      </c>
      <c r="D236" s="527">
        <f t="shared" si="62"/>
        <v>14.6</v>
      </c>
      <c r="E236" s="307">
        <f t="shared" si="63"/>
        <v>0.14599999999999999</v>
      </c>
      <c r="F236" s="5" t="s">
        <v>25</v>
      </c>
      <c r="G236" s="311"/>
      <c r="H236" s="311">
        <f t="shared" si="64"/>
        <v>0</v>
      </c>
      <c r="I236" s="298"/>
      <c r="J236" s="151"/>
      <c r="K236" s="115"/>
      <c r="L236" s="115"/>
      <c r="M236" s="115"/>
      <c r="N236" s="350"/>
      <c r="O236" s="115"/>
      <c r="P236" s="128"/>
      <c r="Q236" s="128"/>
    </row>
    <row r="237" spans="1:27" x14ac:dyDescent="0.25">
      <c r="A237" s="6" t="s">
        <v>10</v>
      </c>
      <c r="B237" s="5">
        <v>5</v>
      </c>
      <c r="C237" s="542">
        <v>1.33</v>
      </c>
      <c r="D237" s="527">
        <f t="shared" si="62"/>
        <v>6.65</v>
      </c>
      <c r="E237" s="307">
        <f t="shared" si="63"/>
        <v>6.6500000000000004E-2</v>
      </c>
      <c r="F237" s="5" t="s">
        <v>25</v>
      </c>
      <c r="G237" s="311"/>
      <c r="H237" s="311">
        <f t="shared" si="64"/>
        <v>0</v>
      </c>
      <c r="J237" s="348"/>
      <c r="K237" s="317"/>
      <c r="L237" s="317"/>
      <c r="M237" s="317"/>
      <c r="N237" s="317"/>
      <c r="O237" s="317"/>
      <c r="P237" s="384"/>
      <c r="Q237" s="385"/>
    </row>
    <row r="238" spans="1:27" x14ac:dyDescent="0.25">
      <c r="A238" s="6" t="s">
        <v>9</v>
      </c>
      <c r="B238" s="5">
        <v>1</v>
      </c>
      <c r="C238" s="542">
        <v>1.43</v>
      </c>
      <c r="D238" s="527">
        <f t="shared" si="62"/>
        <v>1.43</v>
      </c>
      <c r="E238" s="307">
        <f t="shared" si="63"/>
        <v>1.4299999999999998E-2</v>
      </c>
      <c r="F238" s="5" t="s">
        <v>25</v>
      </c>
      <c r="G238" s="311"/>
      <c r="H238" s="311">
        <f t="shared" si="64"/>
        <v>0</v>
      </c>
      <c r="I238" s="298"/>
      <c r="J238" s="531"/>
      <c r="K238" s="531"/>
      <c r="L238" s="531"/>
      <c r="M238" s="531"/>
      <c r="N238" s="531"/>
      <c r="O238" s="531"/>
      <c r="P238" s="531"/>
      <c r="Q238" s="531"/>
    </row>
    <row r="239" spans="1:27" x14ac:dyDescent="0.25">
      <c r="A239" s="6" t="s">
        <v>2</v>
      </c>
      <c r="B239" s="5">
        <v>4</v>
      </c>
      <c r="C239" s="542">
        <v>1.08</v>
      </c>
      <c r="D239" s="527">
        <f t="shared" si="62"/>
        <v>4.32</v>
      </c>
      <c r="E239" s="307">
        <f t="shared" si="63"/>
        <v>4.3200000000000002E-2</v>
      </c>
      <c r="F239" s="5" t="s">
        <v>25</v>
      </c>
      <c r="G239" s="311"/>
      <c r="H239" s="311">
        <f t="shared" si="64"/>
        <v>0</v>
      </c>
      <c r="I239" s="136"/>
      <c r="J239" s="129"/>
      <c r="K239" s="130"/>
      <c r="L239" s="130"/>
      <c r="M239" s="130"/>
      <c r="N239" s="571"/>
      <c r="O239" s="571"/>
      <c r="P239" s="320"/>
      <c r="Q239" s="320"/>
    </row>
    <row r="240" spans="1:27" x14ac:dyDescent="0.25">
      <c r="A240" s="6" t="s">
        <v>3</v>
      </c>
      <c r="B240" s="5">
        <v>0.4</v>
      </c>
      <c r="C240" s="542">
        <v>1.18</v>
      </c>
      <c r="D240" s="527">
        <f t="shared" si="62"/>
        <v>0.47199999999999998</v>
      </c>
      <c r="E240" s="307">
        <f t="shared" si="63"/>
        <v>4.7199999999999994E-3</v>
      </c>
      <c r="F240" s="5" t="s">
        <v>25</v>
      </c>
      <c r="G240" s="311"/>
      <c r="H240" s="311">
        <f t="shared" si="64"/>
        <v>0</v>
      </c>
      <c r="I240" s="330"/>
      <c r="J240" s="10"/>
      <c r="K240" s="317"/>
      <c r="L240" s="317"/>
      <c r="M240" s="317"/>
      <c r="N240" s="355"/>
      <c r="O240" s="317"/>
      <c r="P240" s="332"/>
      <c r="Q240" s="373"/>
    </row>
    <row r="241" spans="1:27" x14ac:dyDescent="0.25">
      <c r="A241" s="3" t="s">
        <v>12</v>
      </c>
      <c r="B241" s="310">
        <v>0.4</v>
      </c>
      <c r="C241" s="541">
        <v>1.35</v>
      </c>
      <c r="D241" s="527">
        <f t="shared" si="62"/>
        <v>0.54</v>
      </c>
      <c r="E241" s="307">
        <f>D241*$Q$31/30</f>
        <v>0.18000000000000002</v>
      </c>
      <c r="F241" s="309" t="s">
        <v>172</v>
      </c>
      <c r="G241" s="166"/>
      <c r="H241" s="311">
        <f t="shared" si="64"/>
        <v>0</v>
      </c>
      <c r="I241" s="330"/>
      <c r="J241" s="10"/>
      <c r="K241" s="317"/>
      <c r="L241" s="317"/>
      <c r="M241" s="317"/>
      <c r="N241" s="355"/>
      <c r="O241" s="317"/>
      <c r="P241" s="332"/>
      <c r="Q241" s="332"/>
    </row>
    <row r="242" spans="1:27" x14ac:dyDescent="0.25">
      <c r="A242" s="90" t="s">
        <v>41</v>
      </c>
      <c r="B242" s="91">
        <v>15</v>
      </c>
      <c r="C242" s="416">
        <v>1</v>
      </c>
      <c r="D242" s="527">
        <f t="shared" si="62"/>
        <v>15</v>
      </c>
      <c r="E242" s="307">
        <f t="shared" si="63"/>
        <v>0.15</v>
      </c>
      <c r="F242" s="14" t="s">
        <v>25</v>
      </c>
      <c r="G242" s="108"/>
      <c r="H242" s="311">
        <f t="shared" si="64"/>
        <v>0</v>
      </c>
      <c r="I242" s="330"/>
      <c r="J242" s="10"/>
      <c r="K242" s="317"/>
      <c r="L242" s="317"/>
      <c r="M242" s="317"/>
      <c r="N242" s="355"/>
      <c r="O242" s="317"/>
      <c r="P242" s="332"/>
      <c r="Q242" s="332"/>
    </row>
    <row r="243" spans="1:27" x14ac:dyDescent="0.25">
      <c r="A243" s="6" t="s">
        <v>127</v>
      </c>
      <c r="B243" s="309">
        <v>1</v>
      </c>
      <c r="C243" s="542">
        <v>1</v>
      </c>
      <c r="D243" s="527">
        <f t="shared" si="62"/>
        <v>1</v>
      </c>
      <c r="E243" s="307">
        <f>D243*$Q$31/900</f>
        <v>1.1111111111111112E-2</v>
      </c>
      <c r="F243" s="5" t="s">
        <v>40</v>
      </c>
      <c r="G243" s="311"/>
      <c r="H243" s="311">
        <f t="shared" si="64"/>
        <v>0</v>
      </c>
      <c r="I243" s="330"/>
      <c r="J243" s="10"/>
      <c r="K243" s="317"/>
      <c r="L243" s="317"/>
      <c r="M243" s="317"/>
      <c r="N243" s="355"/>
      <c r="O243" s="317"/>
      <c r="P243" s="332"/>
      <c r="Q243" s="332"/>
    </row>
    <row r="244" spans="1:27" ht="18" x14ac:dyDescent="0.25">
      <c r="A244" s="6" t="s">
        <v>5</v>
      </c>
      <c r="B244" s="309">
        <v>0.5</v>
      </c>
      <c r="C244" s="542">
        <v>1</v>
      </c>
      <c r="D244" s="527">
        <f t="shared" si="62"/>
        <v>0.5</v>
      </c>
      <c r="E244" s="307">
        <f t="shared" si="63"/>
        <v>5.0000000000000001E-3</v>
      </c>
      <c r="F244" s="5" t="s">
        <v>25</v>
      </c>
      <c r="G244" s="311"/>
      <c r="H244" s="311">
        <f t="shared" si="64"/>
        <v>0</v>
      </c>
      <c r="J244" s="16"/>
      <c r="K244" s="634"/>
      <c r="L244" s="634"/>
      <c r="M244" s="634"/>
      <c r="N244" s="634"/>
      <c r="O244" s="386"/>
      <c r="P244" s="16"/>
      <c r="Q244" s="225"/>
    </row>
    <row r="245" spans="1:27" x14ac:dyDescent="0.25">
      <c r="A245" s="363"/>
      <c r="B245" s="11"/>
      <c r="C245" s="11"/>
      <c r="D245" s="11"/>
      <c r="E245" s="364"/>
      <c r="F245" s="330"/>
      <c r="G245" s="365"/>
      <c r="H245" s="206">
        <f>SUM(H233:H244)</f>
        <v>0</v>
      </c>
      <c r="J245" s="16"/>
      <c r="K245" s="341"/>
      <c r="L245" s="341"/>
      <c r="M245" s="341"/>
      <c r="N245" s="341"/>
      <c r="O245" s="341"/>
      <c r="P245" s="16"/>
      <c r="T245" s="263"/>
      <c r="U245" s="377"/>
      <c r="V245" s="377"/>
    </row>
    <row r="246" spans="1:27" x14ac:dyDescent="0.25">
      <c r="A246" s="363"/>
      <c r="B246" s="11"/>
      <c r="C246" s="11"/>
      <c r="D246" s="11"/>
      <c r="E246" s="364"/>
      <c r="F246" s="330"/>
      <c r="G246" s="365"/>
      <c r="H246" s="207"/>
      <c r="J246" s="16"/>
      <c r="K246" s="628" t="s">
        <v>192</v>
      </c>
      <c r="L246" s="628"/>
      <c r="M246" s="628"/>
      <c r="N246" s="366">
        <f>H202+H219+Q213+Z217+H227+H245</f>
        <v>0</v>
      </c>
      <c r="O246" s="341"/>
      <c r="P246" s="16"/>
      <c r="Q246" s="376"/>
      <c r="R246" s="376"/>
      <c r="S246" s="376"/>
      <c r="T246" s="377"/>
      <c r="U246" s="377"/>
      <c r="V246" s="377"/>
    </row>
    <row r="247" spans="1:27" x14ac:dyDescent="0.25">
      <c r="A247" s="363"/>
      <c r="B247" s="11"/>
      <c r="C247" s="11"/>
      <c r="D247" s="11"/>
      <c r="E247" s="364"/>
      <c r="F247" s="330"/>
      <c r="G247" s="365"/>
      <c r="H247" s="207"/>
      <c r="J247" s="16"/>
      <c r="K247" s="341"/>
      <c r="L247" s="341"/>
      <c r="M247" s="341"/>
      <c r="N247" s="341"/>
      <c r="O247" s="341"/>
      <c r="P247" s="16"/>
      <c r="Q247" s="16"/>
    </row>
    <row r="248" spans="1:27" ht="25.5" x14ac:dyDescent="0.35">
      <c r="A248" s="630" t="s">
        <v>22</v>
      </c>
      <c r="B248" s="630"/>
      <c r="C248" s="630"/>
      <c r="D248" s="630"/>
      <c r="E248" s="630"/>
      <c r="F248" s="630"/>
      <c r="G248" s="630"/>
      <c r="H248" s="630"/>
      <c r="I248" s="630"/>
      <c r="J248" s="630"/>
      <c r="K248" s="630"/>
      <c r="L248" s="630"/>
      <c r="M248" s="630"/>
      <c r="N248" s="630"/>
      <c r="O248" s="630"/>
      <c r="P248" s="630"/>
      <c r="Q248" s="630"/>
      <c r="R248" s="630"/>
      <c r="S248" s="630"/>
      <c r="T248" s="630"/>
      <c r="U248" s="630"/>
      <c r="V248" s="630"/>
      <c r="W248" s="630"/>
      <c r="X248" s="630"/>
      <c r="Y248" s="630"/>
      <c r="Z248" s="630"/>
      <c r="AA248" s="630"/>
    </row>
    <row r="249" spans="1:27" ht="25.5" x14ac:dyDescent="0.35">
      <c r="A249" s="387"/>
      <c r="B249" s="387"/>
      <c r="C249" s="387"/>
      <c r="D249" s="387"/>
      <c r="E249" s="387"/>
      <c r="F249" s="387"/>
      <c r="G249" s="387"/>
      <c r="H249" s="387"/>
    </row>
    <row r="250" spans="1:27" x14ac:dyDescent="0.25">
      <c r="A250" s="624" t="s">
        <v>59</v>
      </c>
      <c r="B250" s="624"/>
      <c r="C250" s="624"/>
      <c r="D250" s="624"/>
      <c r="E250" s="624"/>
      <c r="F250" s="624"/>
      <c r="G250" s="624"/>
      <c r="H250" s="624"/>
      <c r="I250" s="624"/>
      <c r="J250" s="624"/>
      <c r="K250" s="624"/>
      <c r="L250" s="624"/>
      <c r="M250" s="624"/>
      <c r="N250" s="624"/>
      <c r="O250" s="624"/>
      <c r="P250" s="624"/>
      <c r="Q250" s="624"/>
      <c r="R250" s="624"/>
      <c r="S250" s="624"/>
      <c r="T250" s="624"/>
      <c r="U250" s="624"/>
      <c r="V250" s="624"/>
      <c r="W250" s="624"/>
      <c r="X250" s="624"/>
      <c r="Y250" s="624"/>
      <c r="Z250" s="624"/>
      <c r="AA250" s="624"/>
    </row>
    <row r="251" spans="1:27" ht="26.25" thickBot="1" x14ac:dyDescent="0.4">
      <c r="B251" s="297"/>
      <c r="C251" s="297"/>
      <c r="D251" s="297"/>
      <c r="E251" s="297"/>
      <c r="F251" s="297"/>
      <c r="H251" s="16"/>
      <c r="I251" s="387"/>
      <c r="J251" s="387"/>
      <c r="K251" s="387"/>
      <c r="L251" s="387"/>
      <c r="M251" s="387"/>
      <c r="N251" s="387"/>
      <c r="O251" s="387"/>
      <c r="P251" s="387"/>
      <c r="Q251" s="387"/>
      <c r="R251" s="387"/>
      <c r="S251" s="387"/>
      <c r="T251" s="387"/>
      <c r="U251" s="387"/>
      <c r="V251" s="387"/>
      <c r="W251" s="387"/>
      <c r="X251" s="387"/>
      <c r="Y251" s="387"/>
      <c r="Z251" s="387"/>
      <c r="AA251" s="387"/>
    </row>
    <row r="252" spans="1:27" ht="15.75" thickBot="1" x14ac:dyDescent="0.3">
      <c r="A252" s="625" t="s">
        <v>157</v>
      </c>
      <c r="B252" s="626"/>
      <c r="C252" s="626"/>
      <c r="D252" s="626"/>
      <c r="E252" s="626"/>
      <c r="F252" s="626"/>
      <c r="G252" s="626"/>
      <c r="H252" s="627"/>
    </row>
    <row r="253" spans="1:27" s="263" customFormat="1" x14ac:dyDescent="0.25">
      <c r="A253" s="299" t="s">
        <v>13</v>
      </c>
      <c r="B253" s="299" t="s">
        <v>17</v>
      </c>
      <c r="C253" s="65" t="s">
        <v>107</v>
      </c>
      <c r="D253" s="65" t="s">
        <v>108</v>
      </c>
      <c r="E253" s="631" t="s">
        <v>15</v>
      </c>
      <c r="F253" s="632"/>
      <c r="G253" s="299" t="s">
        <v>42</v>
      </c>
      <c r="H253" s="299" t="s">
        <v>43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5">
      <c r="A254" s="3" t="s">
        <v>157</v>
      </c>
      <c r="B254" s="301">
        <v>15</v>
      </c>
      <c r="C254" s="537">
        <v>1</v>
      </c>
      <c r="D254" s="518">
        <f>B254*C254</f>
        <v>15</v>
      </c>
      <c r="E254" s="389">
        <f>D254*Q244/400</f>
        <v>0</v>
      </c>
      <c r="F254" s="137" t="s">
        <v>168</v>
      </c>
      <c r="G254" s="302"/>
      <c r="H254" s="201">
        <f>D254*G254/400</f>
        <v>0</v>
      </c>
    </row>
    <row r="255" spans="1:27" x14ac:dyDescent="0.25">
      <c r="A255" s="303"/>
      <c r="B255" s="304"/>
      <c r="C255" s="304"/>
      <c r="D255" s="304"/>
      <c r="E255" s="300"/>
      <c r="F255" s="300"/>
      <c r="H255" s="206">
        <f>SUM(H254:H254)</f>
        <v>0</v>
      </c>
    </row>
    <row r="256" spans="1:27" ht="25.5" x14ac:dyDescent="0.35">
      <c r="A256" s="10"/>
      <c r="B256" s="11"/>
      <c r="C256" s="11"/>
      <c r="D256" s="11"/>
      <c r="E256" s="11"/>
      <c r="F256" s="11"/>
      <c r="H256" s="13"/>
      <c r="I256" s="387"/>
      <c r="J256" s="387"/>
      <c r="K256" s="387"/>
      <c r="L256" s="387"/>
      <c r="M256" s="387"/>
      <c r="N256" s="387"/>
      <c r="O256" s="387"/>
      <c r="P256" s="387"/>
      <c r="Q256" s="387"/>
    </row>
    <row r="257" spans="1:27" x14ac:dyDescent="0.25">
      <c r="A257" s="624" t="s">
        <v>60</v>
      </c>
      <c r="B257" s="624"/>
      <c r="C257" s="624"/>
      <c r="D257" s="624"/>
      <c r="E257" s="624"/>
      <c r="F257" s="624"/>
      <c r="G257" s="624"/>
      <c r="H257" s="624"/>
      <c r="I257" s="624"/>
      <c r="J257" s="624"/>
      <c r="K257" s="624"/>
      <c r="L257" s="624"/>
      <c r="M257" s="624"/>
      <c r="N257" s="624"/>
      <c r="O257" s="624"/>
      <c r="P257" s="624"/>
      <c r="Q257" s="624"/>
      <c r="R257" s="624"/>
      <c r="S257" s="624"/>
      <c r="T257" s="624"/>
      <c r="U257" s="624"/>
      <c r="V257" s="624"/>
      <c r="W257" s="624"/>
      <c r="X257" s="624"/>
      <c r="Y257" s="624"/>
      <c r="Z257" s="624"/>
      <c r="AA257" s="624"/>
    </row>
    <row r="258" spans="1:27" ht="15.75" thickBot="1" x14ac:dyDescent="0.3">
      <c r="I258" s="16"/>
      <c r="J258" s="16"/>
      <c r="K258" s="16"/>
      <c r="L258" s="16"/>
      <c r="M258" s="16"/>
    </row>
    <row r="259" spans="1:27" ht="15.75" thickBot="1" x14ac:dyDescent="0.3">
      <c r="A259" s="625" t="s">
        <v>106</v>
      </c>
      <c r="B259" s="626"/>
      <c r="C259" s="626"/>
      <c r="D259" s="626"/>
      <c r="E259" s="626"/>
      <c r="F259" s="626"/>
      <c r="G259" s="626"/>
      <c r="H259" s="627"/>
      <c r="J259" s="625" t="s">
        <v>182</v>
      </c>
      <c r="K259" s="626"/>
      <c r="L259" s="626"/>
      <c r="M259" s="626"/>
      <c r="N259" s="626"/>
      <c r="O259" s="626"/>
      <c r="P259" s="626"/>
      <c r="Q259" s="627"/>
      <c r="S259" s="625" t="s">
        <v>193</v>
      </c>
      <c r="T259" s="626"/>
      <c r="U259" s="626"/>
      <c r="V259" s="626"/>
      <c r="W259" s="626"/>
      <c r="X259" s="626"/>
      <c r="Y259" s="626"/>
      <c r="Z259" s="627"/>
    </row>
    <row r="260" spans="1:27" ht="38.25" x14ac:dyDescent="0.25">
      <c r="A260" s="101" t="s">
        <v>13</v>
      </c>
      <c r="B260" s="102" t="s">
        <v>45</v>
      </c>
      <c r="C260" s="65" t="s">
        <v>107</v>
      </c>
      <c r="D260" s="65" t="s">
        <v>108</v>
      </c>
      <c r="E260" s="569" t="s">
        <v>15</v>
      </c>
      <c r="F260" s="570"/>
      <c r="G260" s="299" t="s">
        <v>0</v>
      </c>
      <c r="H260" s="299" t="s">
        <v>1</v>
      </c>
      <c r="I260" s="130"/>
      <c r="J260" s="101" t="s">
        <v>13</v>
      </c>
      <c r="K260" s="102" t="s">
        <v>45</v>
      </c>
      <c r="L260" s="65" t="s">
        <v>107</v>
      </c>
      <c r="M260" s="65" t="s">
        <v>108</v>
      </c>
      <c r="N260" s="579" t="s">
        <v>15</v>
      </c>
      <c r="O260" s="580"/>
      <c r="P260" s="299" t="s">
        <v>0</v>
      </c>
      <c r="Q260" s="299" t="s">
        <v>1</v>
      </c>
      <c r="S260" s="101" t="s">
        <v>13</v>
      </c>
      <c r="T260" s="102" t="s">
        <v>45</v>
      </c>
      <c r="U260" s="65" t="s">
        <v>107</v>
      </c>
      <c r="V260" s="65" t="s">
        <v>108</v>
      </c>
      <c r="W260" s="579" t="s">
        <v>15</v>
      </c>
      <c r="X260" s="580"/>
      <c r="Y260" s="299" t="s">
        <v>0</v>
      </c>
      <c r="Z260" s="299" t="s">
        <v>1</v>
      </c>
    </row>
    <row r="261" spans="1:27" x14ac:dyDescent="0.25">
      <c r="A261" s="3" t="s">
        <v>106</v>
      </c>
      <c r="B261" s="306">
        <v>15</v>
      </c>
      <c r="C261" s="538">
        <v>1</v>
      </c>
      <c r="D261" s="520">
        <f>B261*C261</f>
        <v>15</v>
      </c>
      <c r="E261" s="526">
        <f>D261*$Q$31/1000</f>
        <v>0.15</v>
      </c>
      <c r="F261" s="309" t="s">
        <v>25</v>
      </c>
      <c r="G261" s="362"/>
      <c r="H261" s="311">
        <f>D261*G261/1000</f>
        <v>0</v>
      </c>
      <c r="I261" s="11"/>
      <c r="J261" s="3" t="s">
        <v>11</v>
      </c>
      <c r="K261" s="306">
        <v>20</v>
      </c>
      <c r="L261" s="538">
        <v>1.35</v>
      </c>
      <c r="M261" s="519">
        <f>K261*L261</f>
        <v>27</v>
      </c>
      <c r="N261" s="389">
        <f>M261*$Q$31/1000</f>
        <v>0.27</v>
      </c>
      <c r="O261" s="309" t="s">
        <v>25</v>
      </c>
      <c r="P261" s="311"/>
      <c r="Q261" s="201">
        <f>M261*P261/1000</f>
        <v>0</v>
      </c>
      <c r="S261" s="7" t="s">
        <v>63</v>
      </c>
      <c r="T261" s="5">
        <v>20</v>
      </c>
      <c r="U261" s="523">
        <v>1</v>
      </c>
      <c r="V261" s="522">
        <f>T261*U261</f>
        <v>20</v>
      </c>
      <c r="W261" s="307">
        <f>V261*$Q$31/1000</f>
        <v>0.2</v>
      </c>
      <c r="X261" s="5" t="s">
        <v>25</v>
      </c>
      <c r="Y261" s="308"/>
      <c r="Z261" s="201">
        <f>V261*Y261/1000</f>
        <v>0</v>
      </c>
    </row>
    <row r="262" spans="1:27" x14ac:dyDescent="0.25">
      <c r="A262" s="6" t="s">
        <v>2</v>
      </c>
      <c r="B262" s="5">
        <v>4</v>
      </c>
      <c r="C262" s="523">
        <v>1.08</v>
      </c>
      <c r="D262" s="520">
        <f t="shared" ref="D262:D266" si="65">B262*C262</f>
        <v>4.32</v>
      </c>
      <c r="E262" s="526">
        <f t="shared" ref="E262:E266" si="66">D262*$Q$31/1000</f>
        <v>4.3200000000000002E-2</v>
      </c>
      <c r="F262" s="5" t="s">
        <v>25</v>
      </c>
      <c r="G262" s="311"/>
      <c r="H262" s="311">
        <f t="shared" ref="H262:H263" si="67">D262*G262/1000</f>
        <v>0</v>
      </c>
      <c r="I262" s="11"/>
      <c r="J262" s="3" t="s">
        <v>52</v>
      </c>
      <c r="K262" s="306">
        <v>20</v>
      </c>
      <c r="L262" s="538">
        <v>1.1599999999999999</v>
      </c>
      <c r="M262" s="519">
        <f t="shared" ref="M262:M263" si="68">K262*L262</f>
        <v>23.2</v>
      </c>
      <c r="N262" s="389">
        <f t="shared" ref="N262:N263" si="69">M262*$Q$31/1000</f>
        <v>0.23200000000000001</v>
      </c>
      <c r="O262" s="309" t="s">
        <v>25</v>
      </c>
      <c r="P262" s="311"/>
      <c r="Q262" s="201">
        <f t="shared" ref="Q262:Q263" si="70">M262*P262/1000</f>
        <v>0</v>
      </c>
      <c r="S262" s="6" t="s">
        <v>5</v>
      </c>
      <c r="T262" s="5">
        <v>0.5</v>
      </c>
      <c r="U262" s="523">
        <v>1</v>
      </c>
      <c r="V262" s="522">
        <f t="shared" ref="V262" si="71">T262*U262</f>
        <v>0.5</v>
      </c>
      <c r="W262" s="307">
        <f t="shared" ref="W262" si="72">V262*$Q$31/1000</f>
        <v>5.0000000000000001E-3</v>
      </c>
      <c r="X262" s="5" t="s">
        <v>25</v>
      </c>
      <c r="Y262" s="308"/>
      <c r="Z262" s="201">
        <f t="shared" ref="Z262" si="73">V262*Y262/1000</f>
        <v>0</v>
      </c>
    </row>
    <row r="263" spans="1:27" x14ac:dyDescent="0.25">
      <c r="A263" s="6" t="s">
        <v>3</v>
      </c>
      <c r="B263" s="5">
        <v>0.4</v>
      </c>
      <c r="C263" s="523">
        <v>1.18</v>
      </c>
      <c r="D263" s="520">
        <f t="shared" si="65"/>
        <v>0.47199999999999998</v>
      </c>
      <c r="E263" s="526">
        <f t="shared" si="66"/>
        <v>4.7199999999999994E-3</v>
      </c>
      <c r="F263" s="5" t="s">
        <v>25</v>
      </c>
      <c r="G263" s="311"/>
      <c r="H263" s="311">
        <f t="shared" si="67"/>
        <v>0</v>
      </c>
      <c r="I263" s="11"/>
      <c r="J263" s="3" t="s">
        <v>5</v>
      </c>
      <c r="K263" s="306">
        <v>0.5</v>
      </c>
      <c r="L263" s="538">
        <v>1</v>
      </c>
      <c r="M263" s="519">
        <f t="shared" si="68"/>
        <v>0.5</v>
      </c>
      <c r="N263" s="389">
        <f t="shared" si="69"/>
        <v>5.0000000000000001E-3</v>
      </c>
      <c r="O263" s="309" t="s">
        <v>25</v>
      </c>
      <c r="P263" s="311"/>
      <c r="Q263" s="201">
        <f t="shared" si="70"/>
        <v>0</v>
      </c>
      <c r="Z263" s="206">
        <f>SUM(Z261:Z262)</f>
        <v>0</v>
      </c>
    </row>
    <row r="264" spans="1:27" x14ac:dyDescent="0.25">
      <c r="A264" s="90" t="s">
        <v>47</v>
      </c>
      <c r="B264" s="91">
        <v>0.7</v>
      </c>
      <c r="C264" s="543">
        <v>1</v>
      </c>
      <c r="D264" s="520">
        <f t="shared" si="65"/>
        <v>0.7</v>
      </c>
      <c r="E264" s="526">
        <f>D264*$Q$31/100</f>
        <v>7.0000000000000007E-2</v>
      </c>
      <c r="F264" s="14" t="s">
        <v>36</v>
      </c>
      <c r="G264" s="108"/>
      <c r="H264" s="311">
        <f>D264*G264/100</f>
        <v>0</v>
      </c>
      <c r="I264" s="11"/>
      <c r="Q264" s="206">
        <f>SUM(Q261:Q263)</f>
        <v>0</v>
      </c>
    </row>
    <row r="265" spans="1:27" x14ac:dyDescent="0.25">
      <c r="A265" s="6" t="s">
        <v>127</v>
      </c>
      <c r="B265" s="309">
        <v>1</v>
      </c>
      <c r="C265" s="523">
        <v>1</v>
      </c>
      <c r="D265" s="520">
        <f t="shared" si="65"/>
        <v>1</v>
      </c>
      <c r="E265" s="526">
        <f>D265*$Q$31/900</f>
        <v>1.1111111111111112E-2</v>
      </c>
      <c r="F265" s="5" t="s">
        <v>40</v>
      </c>
      <c r="G265" s="311"/>
      <c r="H265" s="311">
        <f>D265*G265/900</f>
        <v>0</v>
      </c>
      <c r="I265" s="371"/>
    </row>
    <row r="266" spans="1:27" x14ac:dyDescent="0.25">
      <c r="A266" s="6" t="s">
        <v>5</v>
      </c>
      <c r="B266" s="309">
        <v>0.5</v>
      </c>
      <c r="C266" s="523">
        <v>1</v>
      </c>
      <c r="D266" s="520">
        <f t="shared" si="65"/>
        <v>0.5</v>
      </c>
      <c r="E266" s="526">
        <f t="shared" si="66"/>
        <v>5.0000000000000001E-3</v>
      </c>
      <c r="F266" s="5" t="s">
        <v>16</v>
      </c>
      <c r="G266" s="311"/>
      <c r="H266" s="311">
        <f t="shared" ref="H266" si="74">D266*G266/1000</f>
        <v>0</v>
      </c>
    </row>
    <row r="267" spans="1:27" x14ac:dyDescent="0.25">
      <c r="A267" s="6" t="s">
        <v>10</v>
      </c>
      <c r="B267" s="309">
        <v>5</v>
      </c>
      <c r="C267" s="523">
        <v>1.33</v>
      </c>
      <c r="D267" s="520">
        <f>B267*C267</f>
        <v>6.65</v>
      </c>
      <c r="E267" s="526">
        <f>D267*$Q$31/1000</f>
        <v>6.6500000000000004E-2</v>
      </c>
      <c r="F267" s="5" t="s">
        <v>16</v>
      </c>
      <c r="G267" s="311"/>
      <c r="H267" s="311">
        <f>D267*G267/1000</f>
        <v>0</v>
      </c>
    </row>
    <row r="268" spans="1:27" x14ac:dyDescent="0.25">
      <c r="A268" s="16"/>
      <c r="B268" s="16"/>
      <c r="C268" s="16"/>
      <c r="D268" s="16"/>
      <c r="E268" s="16"/>
      <c r="F268" s="16"/>
      <c r="G268" s="16"/>
      <c r="H268" s="206">
        <f>SUM(H261:H267)</f>
        <v>0</v>
      </c>
      <c r="J268" s="363"/>
      <c r="K268" s="317"/>
      <c r="L268" s="317"/>
      <c r="M268" s="317"/>
      <c r="N268" s="350"/>
      <c r="O268" s="317"/>
      <c r="P268" s="356"/>
      <c r="Q268" s="357"/>
    </row>
    <row r="269" spans="1:27" x14ac:dyDescent="0.25">
      <c r="A269" s="2"/>
      <c r="B269" s="304"/>
      <c r="C269" s="304"/>
      <c r="D269" s="304"/>
      <c r="E269" s="330"/>
      <c r="F269" s="11"/>
      <c r="G269" s="169"/>
      <c r="H269" s="532"/>
      <c r="J269" s="341"/>
      <c r="K269" s="341"/>
      <c r="L269" s="341"/>
      <c r="M269" s="341"/>
      <c r="N269" s="341"/>
      <c r="O269" s="341"/>
      <c r="P269" s="341"/>
      <c r="Q269" s="385"/>
    </row>
    <row r="270" spans="1:27" x14ac:dyDescent="0.25">
      <c r="J270" s="344"/>
      <c r="K270" s="345"/>
      <c r="L270" s="345"/>
      <c r="M270" s="345"/>
      <c r="N270" s="629"/>
      <c r="O270" s="629"/>
      <c r="P270" s="347"/>
      <c r="Q270" s="347"/>
    </row>
    <row r="271" spans="1:27" x14ac:dyDescent="0.25">
      <c r="A271" s="624" t="s">
        <v>194</v>
      </c>
      <c r="B271" s="624"/>
      <c r="C271" s="624"/>
      <c r="D271" s="624"/>
      <c r="E271" s="624"/>
      <c r="F271" s="624"/>
      <c r="G271" s="624"/>
      <c r="H271" s="624"/>
      <c r="I271" s="624"/>
      <c r="J271" s="624"/>
      <c r="K271" s="624"/>
      <c r="L271" s="624"/>
      <c r="M271" s="624"/>
      <c r="N271" s="624"/>
      <c r="O271" s="624"/>
      <c r="P271" s="624"/>
      <c r="Q271" s="624"/>
      <c r="R271" s="624"/>
      <c r="S271" s="624"/>
      <c r="T271" s="624"/>
      <c r="U271" s="624"/>
      <c r="V271" s="624"/>
      <c r="W271" s="624"/>
      <c r="X271" s="624"/>
      <c r="Y271" s="624"/>
      <c r="Z271" s="624"/>
      <c r="AA271" s="624"/>
    </row>
    <row r="272" spans="1:27" ht="15.75" thickBot="1" x14ac:dyDescent="0.3">
      <c r="A272" s="2"/>
      <c r="B272" s="381"/>
      <c r="C272" s="381"/>
      <c r="D272" s="381"/>
      <c r="E272" s="330"/>
      <c r="F272" s="11"/>
      <c r="H272" s="388"/>
      <c r="J272" s="363"/>
      <c r="K272" s="317"/>
      <c r="L272" s="317"/>
      <c r="M272" s="317"/>
      <c r="N272" s="350"/>
      <c r="O272" s="317"/>
      <c r="P272" s="356"/>
      <c r="Q272" s="356"/>
    </row>
    <row r="273" spans="1:27" ht="15.75" thickBot="1" x14ac:dyDescent="0.3">
      <c r="A273" s="625" t="s">
        <v>195</v>
      </c>
      <c r="B273" s="626"/>
      <c r="C273" s="626"/>
      <c r="D273" s="626"/>
      <c r="E273" s="626"/>
      <c r="F273" s="626"/>
      <c r="G273" s="626"/>
      <c r="H273" s="627"/>
    </row>
    <row r="274" spans="1:27" ht="25.5" x14ac:dyDescent="0.25">
      <c r="A274" s="101" t="s">
        <v>13</v>
      </c>
      <c r="B274" s="102" t="s">
        <v>45</v>
      </c>
      <c r="C274" s="65" t="s">
        <v>107</v>
      </c>
      <c r="D274" s="65" t="s">
        <v>108</v>
      </c>
      <c r="E274" s="569" t="s">
        <v>15</v>
      </c>
      <c r="F274" s="570"/>
      <c r="G274" s="299" t="s">
        <v>0</v>
      </c>
      <c r="H274" s="299" t="s">
        <v>1</v>
      </c>
      <c r="S274" s="341"/>
      <c r="T274" s="341"/>
      <c r="U274" s="341"/>
      <c r="V274" s="341"/>
      <c r="W274" s="341"/>
      <c r="X274" s="341"/>
      <c r="Y274" s="341"/>
      <c r="Z274" s="341"/>
    </row>
    <row r="275" spans="1:27" x14ac:dyDescent="0.25">
      <c r="A275" s="6" t="s">
        <v>100</v>
      </c>
      <c r="B275" s="14">
        <v>60</v>
      </c>
      <c r="C275" s="92">
        <v>1.36</v>
      </c>
      <c r="D275" s="92">
        <f>B275*C275</f>
        <v>81.600000000000009</v>
      </c>
      <c r="E275" s="389">
        <f>D275*$Q$31/1000</f>
        <v>0.81600000000000006</v>
      </c>
      <c r="F275" s="390" t="s">
        <v>25</v>
      </c>
      <c r="G275" s="391"/>
      <c r="H275" s="392">
        <f>D275*G275/1000</f>
        <v>0</v>
      </c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341"/>
      <c r="T275" s="341"/>
      <c r="U275" s="341"/>
      <c r="V275" s="341"/>
      <c r="W275" s="341"/>
      <c r="X275" s="341"/>
      <c r="Y275" s="341"/>
      <c r="Z275" s="341"/>
      <c r="AA275" s="341"/>
    </row>
    <row r="276" spans="1:27" s="341" customFormat="1" x14ac:dyDescent="0.25">
      <c r="A276" s="236"/>
      <c r="B276" s="236"/>
      <c r="C276" s="236"/>
      <c r="D276" s="236"/>
      <c r="E276" s="236"/>
      <c r="F276" s="236"/>
      <c r="G276" s="236"/>
      <c r="H276" s="206">
        <f>SUM(H275:H275)</f>
        <v>0</v>
      </c>
    </row>
    <row r="277" spans="1:27" s="341" customFormat="1" x14ac:dyDescent="0.25">
      <c r="A277" s="623"/>
      <c r="B277" s="623"/>
      <c r="C277" s="623"/>
      <c r="D277" s="623"/>
      <c r="E277" s="623"/>
      <c r="F277" s="623"/>
      <c r="G277" s="623"/>
      <c r="H277" s="623"/>
    </row>
    <row r="278" spans="1:27" s="341" customFormat="1" x14ac:dyDescent="0.25">
      <c r="A278" s="624" t="s">
        <v>62</v>
      </c>
      <c r="B278" s="624"/>
      <c r="C278" s="624"/>
      <c r="D278" s="624"/>
      <c r="E278" s="624"/>
      <c r="F278" s="624"/>
      <c r="G278" s="624"/>
      <c r="H278" s="624"/>
      <c r="I278" s="624"/>
      <c r="J278" s="624"/>
      <c r="K278" s="624"/>
      <c r="L278" s="624"/>
      <c r="M278" s="624"/>
      <c r="N278" s="624"/>
      <c r="O278" s="624"/>
      <c r="P278" s="624"/>
      <c r="Q278" s="624"/>
      <c r="R278" s="624"/>
      <c r="S278" s="624"/>
      <c r="T278" s="624"/>
      <c r="U278" s="624"/>
      <c r="V278" s="624"/>
      <c r="W278" s="624"/>
      <c r="X278" s="624"/>
      <c r="Y278" s="624"/>
      <c r="Z278" s="624"/>
      <c r="AA278" s="624"/>
    </row>
    <row r="279" spans="1:27" ht="15.75" thickBot="1" x14ac:dyDescent="0.3"/>
    <row r="280" spans="1:27" ht="15.75" thickBot="1" x14ac:dyDescent="0.3">
      <c r="A280" s="625" t="s">
        <v>185</v>
      </c>
      <c r="B280" s="626"/>
      <c r="C280" s="626"/>
      <c r="D280" s="626"/>
      <c r="E280" s="626"/>
      <c r="F280" s="626"/>
      <c r="G280" s="626"/>
      <c r="H280" s="627"/>
      <c r="J280" s="353"/>
      <c r="K280" s="349"/>
      <c r="L280" s="349"/>
      <c r="M280" s="349"/>
      <c r="N280" s="179"/>
    </row>
    <row r="281" spans="1:27" ht="31.5" customHeight="1" x14ac:dyDescent="0.25">
      <c r="A281" s="101" t="s">
        <v>13</v>
      </c>
      <c r="B281" s="102" t="s">
        <v>45</v>
      </c>
      <c r="C281" s="65" t="s">
        <v>107</v>
      </c>
      <c r="D281" s="65" t="s">
        <v>108</v>
      </c>
      <c r="E281" s="578" t="s">
        <v>15</v>
      </c>
      <c r="F281" s="578"/>
      <c r="G281" s="299" t="s">
        <v>0</v>
      </c>
      <c r="H281" s="299" t="s">
        <v>1</v>
      </c>
      <c r="J281" s="353"/>
      <c r="K281" s="349"/>
      <c r="L281" s="349"/>
      <c r="M281" s="349"/>
      <c r="N281" s="179"/>
    </row>
    <row r="282" spans="1:27" x14ac:dyDescent="0.25">
      <c r="A282" s="374" t="s">
        <v>186</v>
      </c>
      <c r="B282" s="375">
        <v>10</v>
      </c>
      <c r="C282" s="544">
        <v>1.21</v>
      </c>
      <c r="D282" s="545">
        <f>B282*C282</f>
        <v>12.1</v>
      </c>
      <c r="E282" s="389">
        <f>D282*$Q$31/1000</f>
        <v>0.121</v>
      </c>
      <c r="F282" s="315" t="s">
        <v>25</v>
      </c>
      <c r="G282" s="316"/>
      <c r="H282" s="311">
        <f>D282*G282/1000</f>
        <v>0</v>
      </c>
    </row>
    <row r="283" spans="1:27" x14ac:dyDescent="0.25">
      <c r="A283" s="6" t="s">
        <v>68</v>
      </c>
      <c r="B283" s="5">
        <v>20</v>
      </c>
      <c r="C283" s="523">
        <v>1</v>
      </c>
      <c r="D283" s="545">
        <f t="shared" ref="D283:D294" si="75">B283*C283</f>
        <v>20</v>
      </c>
      <c r="E283" s="389">
        <f>D283*$Q$31/500</f>
        <v>0.4</v>
      </c>
      <c r="F283" s="5" t="s">
        <v>35</v>
      </c>
      <c r="G283" s="311"/>
      <c r="H283" s="311">
        <f>D283*G283/500</f>
        <v>0</v>
      </c>
    </row>
    <row r="284" spans="1:27" x14ac:dyDescent="0.25">
      <c r="A284" s="6" t="s">
        <v>65</v>
      </c>
      <c r="B284" s="5">
        <v>15</v>
      </c>
      <c r="C284" s="523">
        <v>1.1599999999999999</v>
      </c>
      <c r="D284" s="545">
        <f t="shared" si="75"/>
        <v>17.399999999999999</v>
      </c>
      <c r="E284" s="389">
        <f t="shared" ref="E284:E294" si="76">D284*$Q$31/1000</f>
        <v>0.17399999999999999</v>
      </c>
      <c r="F284" s="5" t="s">
        <v>25</v>
      </c>
      <c r="G284" s="311"/>
      <c r="H284" s="311">
        <f t="shared" ref="H284:H290" si="77">D284*G284/1000</f>
        <v>0</v>
      </c>
    </row>
    <row r="285" spans="1:27" x14ac:dyDescent="0.25">
      <c r="A285" s="6" t="s">
        <v>7</v>
      </c>
      <c r="B285" s="5">
        <v>10</v>
      </c>
      <c r="C285" s="523">
        <v>1.18</v>
      </c>
      <c r="D285" s="545">
        <f t="shared" si="75"/>
        <v>11.799999999999999</v>
      </c>
      <c r="E285" s="389">
        <f t="shared" si="76"/>
        <v>0.11799999999999998</v>
      </c>
      <c r="F285" s="5" t="s">
        <v>25</v>
      </c>
      <c r="G285" s="311"/>
      <c r="H285" s="311">
        <f t="shared" si="77"/>
        <v>0</v>
      </c>
    </row>
    <row r="286" spans="1:27" x14ac:dyDescent="0.25">
      <c r="A286" s="6" t="s">
        <v>8</v>
      </c>
      <c r="B286" s="5">
        <v>10</v>
      </c>
      <c r="C286" s="523">
        <v>1.46</v>
      </c>
      <c r="D286" s="545">
        <f t="shared" si="75"/>
        <v>14.6</v>
      </c>
      <c r="E286" s="389">
        <f t="shared" si="76"/>
        <v>0.14599999999999999</v>
      </c>
      <c r="F286" s="5" t="s">
        <v>25</v>
      </c>
      <c r="G286" s="311"/>
      <c r="H286" s="311">
        <f t="shared" si="77"/>
        <v>0</v>
      </c>
    </row>
    <row r="287" spans="1:27" x14ac:dyDescent="0.25">
      <c r="A287" s="6" t="s">
        <v>10</v>
      </c>
      <c r="B287" s="5">
        <v>5</v>
      </c>
      <c r="C287" s="523">
        <v>1.33</v>
      </c>
      <c r="D287" s="545">
        <f t="shared" si="75"/>
        <v>6.65</v>
      </c>
      <c r="E287" s="389">
        <f t="shared" si="76"/>
        <v>6.6500000000000004E-2</v>
      </c>
      <c r="F287" s="5" t="s">
        <v>25</v>
      </c>
      <c r="G287" s="311"/>
      <c r="H287" s="311">
        <f t="shared" si="77"/>
        <v>0</v>
      </c>
    </row>
    <row r="288" spans="1:27" x14ac:dyDescent="0.25">
      <c r="A288" s="6" t="s">
        <v>9</v>
      </c>
      <c r="B288" s="5">
        <v>1</v>
      </c>
      <c r="C288" s="523">
        <v>1.43</v>
      </c>
      <c r="D288" s="545">
        <f t="shared" si="75"/>
        <v>1.43</v>
      </c>
      <c r="E288" s="389">
        <f t="shared" si="76"/>
        <v>1.4299999999999998E-2</v>
      </c>
      <c r="F288" s="5" t="s">
        <v>25</v>
      </c>
      <c r="G288" s="311"/>
      <c r="H288" s="311">
        <f t="shared" si="77"/>
        <v>0</v>
      </c>
    </row>
    <row r="289" spans="1:22" x14ac:dyDescent="0.25">
      <c r="A289" s="6" t="s">
        <v>2</v>
      </c>
      <c r="B289" s="5">
        <v>5</v>
      </c>
      <c r="C289" s="523">
        <v>1.08</v>
      </c>
      <c r="D289" s="545">
        <f t="shared" si="75"/>
        <v>5.4</v>
      </c>
      <c r="E289" s="389">
        <f t="shared" si="76"/>
        <v>5.3999999999999999E-2</v>
      </c>
      <c r="F289" s="5" t="s">
        <v>25</v>
      </c>
      <c r="G289" s="311"/>
      <c r="H289" s="311">
        <f t="shared" si="77"/>
        <v>0</v>
      </c>
    </row>
    <row r="290" spans="1:22" x14ac:dyDescent="0.25">
      <c r="A290" s="6" t="s">
        <v>3</v>
      </c>
      <c r="B290" s="5">
        <v>0.4</v>
      </c>
      <c r="C290" s="523">
        <v>1.18</v>
      </c>
      <c r="D290" s="545">
        <f t="shared" si="75"/>
        <v>0.47199999999999998</v>
      </c>
      <c r="E290" s="389">
        <f t="shared" si="76"/>
        <v>4.7199999999999994E-3</v>
      </c>
      <c r="F290" s="5" t="s">
        <v>25</v>
      </c>
      <c r="G290" s="311"/>
      <c r="H290" s="311">
        <f t="shared" si="77"/>
        <v>0</v>
      </c>
    </row>
    <row r="291" spans="1:22" x14ac:dyDescent="0.25">
      <c r="A291" s="3" t="s">
        <v>12</v>
      </c>
      <c r="B291" s="310">
        <v>0.4</v>
      </c>
      <c r="C291" s="538">
        <v>1.35</v>
      </c>
      <c r="D291" s="545">
        <f t="shared" si="75"/>
        <v>0.54</v>
      </c>
      <c r="E291" s="389">
        <f>D291*$Q$31/30</f>
        <v>0.18000000000000002</v>
      </c>
      <c r="F291" s="309" t="s">
        <v>172</v>
      </c>
      <c r="G291" s="166"/>
      <c r="H291" s="311">
        <f>D291*G291/30</f>
        <v>0</v>
      </c>
    </row>
    <row r="292" spans="1:22" x14ac:dyDescent="0.25">
      <c r="A292" s="90" t="s">
        <v>47</v>
      </c>
      <c r="B292" s="91">
        <v>0.7</v>
      </c>
      <c r="C292" s="543">
        <v>1</v>
      </c>
      <c r="D292" s="545">
        <f t="shared" si="75"/>
        <v>0.7</v>
      </c>
      <c r="E292" s="389">
        <f>D292*$Q$31/100</f>
        <v>7.0000000000000007E-2</v>
      </c>
      <c r="F292" s="14" t="s">
        <v>36</v>
      </c>
      <c r="G292" s="108"/>
      <c r="H292" s="311">
        <f>D292*G292/100</f>
        <v>0</v>
      </c>
    </row>
    <row r="293" spans="1:22" x14ac:dyDescent="0.25">
      <c r="A293" s="6" t="s">
        <v>127</v>
      </c>
      <c r="B293" s="309">
        <v>1</v>
      </c>
      <c r="C293" s="523">
        <v>1</v>
      </c>
      <c r="D293" s="545">
        <f t="shared" si="75"/>
        <v>1</v>
      </c>
      <c r="E293" s="389">
        <f>D293*$Q$31/900</f>
        <v>1.1111111111111112E-2</v>
      </c>
      <c r="F293" s="5" t="s">
        <v>40</v>
      </c>
      <c r="G293" s="311"/>
      <c r="H293" s="311">
        <f>D293*G293/900</f>
        <v>0</v>
      </c>
      <c r="T293" s="263"/>
      <c r="U293" s="263"/>
      <c r="V293" s="263"/>
    </row>
    <row r="294" spans="1:22" x14ac:dyDescent="0.25">
      <c r="A294" s="6" t="s">
        <v>5</v>
      </c>
      <c r="B294" s="309">
        <v>0.5</v>
      </c>
      <c r="C294" s="523">
        <v>1</v>
      </c>
      <c r="D294" s="545">
        <f t="shared" si="75"/>
        <v>0.5</v>
      </c>
      <c r="E294" s="389">
        <f t="shared" si="76"/>
        <v>5.0000000000000001E-3</v>
      </c>
      <c r="F294" s="5" t="s">
        <v>25</v>
      </c>
      <c r="G294" s="311"/>
      <c r="H294" s="311">
        <f t="shared" ref="H294" si="78">D294*G294/1000</f>
        <v>0</v>
      </c>
      <c r="T294" s="263"/>
      <c r="U294" s="263"/>
      <c r="V294" s="263"/>
    </row>
    <row r="295" spans="1:22" x14ac:dyDescent="0.25">
      <c r="A295" s="13"/>
      <c r="B295" s="11"/>
      <c r="C295" s="11"/>
      <c r="D295" s="11"/>
      <c r="E295" s="378"/>
      <c r="F295" s="330"/>
      <c r="G295" s="365"/>
      <c r="H295" s="379">
        <f>SUM(H282:H294)</f>
        <v>0</v>
      </c>
      <c r="T295" s="263"/>
      <c r="U295" s="377"/>
      <c r="V295" s="377"/>
    </row>
    <row r="296" spans="1:22" x14ac:dyDescent="0.25">
      <c r="T296" s="263"/>
      <c r="U296" s="263"/>
      <c r="V296" s="263"/>
    </row>
    <row r="297" spans="1:22" x14ac:dyDescent="0.25">
      <c r="K297" s="628" t="s">
        <v>196</v>
      </c>
      <c r="L297" s="628"/>
      <c r="M297" s="628"/>
      <c r="N297" s="366">
        <f>H255+H268+Q264+Z263+H276+H295</f>
        <v>0</v>
      </c>
      <c r="T297" s="263"/>
      <c r="U297" s="263"/>
      <c r="V297" s="263"/>
    </row>
    <row r="298" spans="1:22" ht="18.75" x14ac:dyDescent="0.25">
      <c r="T298" s="263"/>
      <c r="U298" s="534"/>
      <c r="V298" s="534"/>
    </row>
    <row r="299" spans="1:22" x14ac:dyDescent="0.25">
      <c r="T299" s="263"/>
      <c r="U299" s="263"/>
      <c r="V299" s="263"/>
    </row>
    <row r="300" spans="1:22" ht="18.75" x14ac:dyDescent="0.3">
      <c r="K300" s="622" t="s">
        <v>197</v>
      </c>
      <c r="L300" s="622"/>
      <c r="M300" s="622"/>
      <c r="N300" s="393">
        <f>(N82+N134+N191+N246+N297)/5</f>
        <v>0</v>
      </c>
      <c r="T300" s="263"/>
      <c r="U300" s="263"/>
      <c r="V300" s="263"/>
    </row>
  </sheetData>
  <mergeCells count="117">
    <mergeCell ref="A43:AA43"/>
    <mergeCell ref="A45:H45"/>
    <mergeCell ref="J45:Q45"/>
    <mergeCell ref="S45:Z45"/>
    <mergeCell ref="E46:F46"/>
    <mergeCell ref="N46:O46"/>
    <mergeCell ref="W46:X46"/>
    <mergeCell ref="A1:O1"/>
    <mergeCell ref="P25:R25"/>
    <mergeCell ref="A34:AA34"/>
    <mergeCell ref="A36:AA36"/>
    <mergeCell ref="A38:H38"/>
    <mergeCell ref="E39:F39"/>
    <mergeCell ref="A66:AA66"/>
    <mergeCell ref="A68:H68"/>
    <mergeCell ref="N68:O68"/>
    <mergeCell ref="E69:F69"/>
    <mergeCell ref="K82:M82"/>
    <mergeCell ref="A85:AA85"/>
    <mergeCell ref="J57:Q57"/>
    <mergeCell ref="E58:F58"/>
    <mergeCell ref="I58:P58"/>
    <mergeCell ref="A59:AA59"/>
    <mergeCell ref="A61:H61"/>
    <mergeCell ref="E62:F62"/>
    <mergeCell ref="A95:AA95"/>
    <mergeCell ref="A97:H97"/>
    <mergeCell ref="J97:Q97"/>
    <mergeCell ref="S97:Z97"/>
    <mergeCell ref="E98:F98"/>
    <mergeCell ref="N98:O98"/>
    <mergeCell ref="W98:X98"/>
    <mergeCell ref="A87:AA87"/>
    <mergeCell ref="A88:H88"/>
    <mergeCell ref="J88:Q88"/>
    <mergeCell ref="A89:H89"/>
    <mergeCell ref="N89:O89"/>
    <mergeCell ref="E90:F90"/>
    <mergeCell ref="A121:AA121"/>
    <mergeCell ref="J123:Q123"/>
    <mergeCell ref="N124:O124"/>
    <mergeCell ref="K134:M134"/>
    <mergeCell ref="A137:AA137"/>
    <mergeCell ref="A139:AA139"/>
    <mergeCell ref="K107:R107"/>
    <mergeCell ref="O108:P108"/>
    <mergeCell ref="A113:AA113"/>
    <mergeCell ref="A115:H115"/>
    <mergeCell ref="J115:Q115"/>
    <mergeCell ref="E116:F116"/>
    <mergeCell ref="N116:O116"/>
    <mergeCell ref="A123:H123"/>
    <mergeCell ref="E124:F124"/>
    <mergeCell ref="E149:F149"/>
    <mergeCell ref="N149:O149"/>
    <mergeCell ref="W149:X149"/>
    <mergeCell ref="A159:H159"/>
    <mergeCell ref="E160:F160"/>
    <mergeCell ref="J160:Q160"/>
    <mergeCell ref="A141:H141"/>
    <mergeCell ref="E142:F142"/>
    <mergeCell ref="A146:AA146"/>
    <mergeCell ref="A148:H148"/>
    <mergeCell ref="J148:Q148"/>
    <mergeCell ref="S148:Z148"/>
    <mergeCell ref="E176:F176"/>
    <mergeCell ref="K191:M191"/>
    <mergeCell ref="A193:AA193"/>
    <mergeCell ref="A195:AA195"/>
    <mergeCell ref="A197:H197"/>
    <mergeCell ref="E198:F198"/>
    <mergeCell ref="N165:O165"/>
    <mergeCell ref="A166:AA166"/>
    <mergeCell ref="A168:H168"/>
    <mergeCell ref="E169:F169"/>
    <mergeCell ref="A173:AA173"/>
    <mergeCell ref="A175:H175"/>
    <mergeCell ref="A221:AA221"/>
    <mergeCell ref="A223:H223"/>
    <mergeCell ref="E224:F224"/>
    <mergeCell ref="A229:AA229"/>
    <mergeCell ref="A231:H231"/>
    <mergeCell ref="E232:F232"/>
    <mergeCell ref="A204:AA204"/>
    <mergeCell ref="N205:O205"/>
    <mergeCell ref="A206:H206"/>
    <mergeCell ref="J206:Q206"/>
    <mergeCell ref="S206:Z206"/>
    <mergeCell ref="E207:F207"/>
    <mergeCell ref="N207:O207"/>
    <mergeCell ref="W207:X207"/>
    <mergeCell ref="A248:AA248"/>
    <mergeCell ref="A250:AA250"/>
    <mergeCell ref="A252:H252"/>
    <mergeCell ref="E253:F253"/>
    <mergeCell ref="A257:AA257"/>
    <mergeCell ref="A259:H259"/>
    <mergeCell ref="J259:Q259"/>
    <mergeCell ref="S259:Z259"/>
    <mergeCell ref="J233:Q233"/>
    <mergeCell ref="N234:O234"/>
    <mergeCell ref="N239:O239"/>
    <mergeCell ref="K244:N244"/>
    <mergeCell ref="K246:M246"/>
    <mergeCell ref="K300:M300"/>
    <mergeCell ref="E274:F274"/>
    <mergeCell ref="A277:H277"/>
    <mergeCell ref="A278:AA278"/>
    <mergeCell ref="A280:H280"/>
    <mergeCell ref="E281:F281"/>
    <mergeCell ref="K297:M297"/>
    <mergeCell ref="E260:F260"/>
    <mergeCell ref="N260:O260"/>
    <mergeCell ref="W260:X260"/>
    <mergeCell ref="N270:O270"/>
    <mergeCell ref="A271:AA271"/>
    <mergeCell ref="A273:H273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2"/>
  <sheetViews>
    <sheetView workbookViewId="0">
      <selection activeCell="B9" sqref="B9"/>
    </sheetView>
  </sheetViews>
  <sheetFormatPr defaultRowHeight="15" x14ac:dyDescent="0.25"/>
  <cols>
    <col min="1" max="1" width="20.42578125" customWidth="1"/>
    <col min="2" max="2" width="9.7109375" customWidth="1"/>
    <col min="3" max="4" width="11" customWidth="1"/>
    <col min="5" max="5" width="12.140625" customWidth="1"/>
    <col min="6" max="6" width="13.85546875" customWidth="1"/>
    <col min="7" max="7" width="15.7109375" style="19" customWidth="1"/>
    <col min="8" max="8" width="10.85546875" style="19" customWidth="1"/>
    <col min="9" max="9" width="14" bestFit="1" customWidth="1"/>
    <col min="10" max="10" width="20.5703125" customWidth="1"/>
    <col min="12" max="12" width="14.5703125" customWidth="1"/>
    <col min="13" max="13" width="13.7109375" customWidth="1"/>
    <col min="14" max="14" width="16.7109375" customWidth="1"/>
    <col min="15" max="15" width="22.85546875" customWidth="1"/>
    <col min="17" max="17" width="19.7109375" style="16" bestFit="1" customWidth="1"/>
    <col min="18" max="19" width="16.85546875" style="16" customWidth="1"/>
    <col min="20" max="20" width="11.7109375" style="16" customWidth="1"/>
    <col min="21" max="21" width="9.140625" style="16"/>
    <col min="22" max="22" width="14.140625" style="16" customWidth="1"/>
    <col min="23" max="23" width="18.5703125" style="16" customWidth="1"/>
    <col min="24" max="24" width="12.7109375" style="16" customWidth="1"/>
    <col min="25" max="25" width="14.42578125" style="16" customWidth="1"/>
    <col min="260" max="260" width="20.42578125" customWidth="1"/>
    <col min="262" max="262" width="11" customWidth="1"/>
    <col min="264" max="264" width="15.7109375" customWidth="1"/>
    <col min="265" max="265" width="10.85546875" customWidth="1"/>
    <col min="266" max="266" width="14" bestFit="1" customWidth="1"/>
    <col min="267" max="267" width="19.140625" customWidth="1"/>
    <col min="269" max="269" width="14.5703125" customWidth="1"/>
    <col min="270" max="270" width="13.7109375" customWidth="1"/>
    <col min="271" max="271" width="16.7109375" customWidth="1"/>
    <col min="272" max="272" width="17" customWidth="1"/>
    <col min="516" max="516" width="20.42578125" customWidth="1"/>
    <col min="518" max="518" width="11" customWidth="1"/>
    <col min="520" max="520" width="15.7109375" customWidth="1"/>
    <col min="521" max="521" width="10.85546875" customWidth="1"/>
    <col min="522" max="522" width="14" bestFit="1" customWidth="1"/>
    <col min="523" max="523" width="19.140625" customWidth="1"/>
    <col min="525" max="525" width="14.5703125" customWidth="1"/>
    <col min="526" max="526" width="13.7109375" customWidth="1"/>
    <col min="527" max="527" width="16.7109375" customWidth="1"/>
    <col min="528" max="528" width="17" customWidth="1"/>
    <col min="772" max="772" width="20.42578125" customWidth="1"/>
    <col min="774" max="774" width="11" customWidth="1"/>
    <col min="776" max="776" width="15.7109375" customWidth="1"/>
    <col min="777" max="777" width="10.85546875" customWidth="1"/>
    <col min="778" max="778" width="14" bestFit="1" customWidth="1"/>
    <col min="779" max="779" width="19.140625" customWidth="1"/>
    <col min="781" max="781" width="14.5703125" customWidth="1"/>
    <col min="782" max="782" width="13.7109375" customWidth="1"/>
    <col min="783" max="783" width="16.7109375" customWidth="1"/>
    <col min="784" max="784" width="17" customWidth="1"/>
    <col min="1028" max="1028" width="20.42578125" customWidth="1"/>
    <col min="1030" max="1030" width="11" customWidth="1"/>
    <col min="1032" max="1032" width="15.7109375" customWidth="1"/>
    <col min="1033" max="1033" width="10.85546875" customWidth="1"/>
    <col min="1034" max="1034" width="14" bestFit="1" customWidth="1"/>
    <col min="1035" max="1035" width="19.140625" customWidth="1"/>
    <col min="1037" max="1037" width="14.5703125" customWidth="1"/>
    <col min="1038" max="1038" width="13.7109375" customWidth="1"/>
    <col min="1039" max="1039" width="16.7109375" customWidth="1"/>
    <col min="1040" max="1040" width="17" customWidth="1"/>
    <col min="1284" max="1284" width="20.42578125" customWidth="1"/>
    <col min="1286" max="1286" width="11" customWidth="1"/>
    <col min="1288" max="1288" width="15.7109375" customWidth="1"/>
    <col min="1289" max="1289" width="10.85546875" customWidth="1"/>
    <col min="1290" max="1290" width="14" bestFit="1" customWidth="1"/>
    <col min="1291" max="1291" width="19.140625" customWidth="1"/>
    <col min="1293" max="1293" width="14.5703125" customWidth="1"/>
    <col min="1294" max="1294" width="13.7109375" customWidth="1"/>
    <col min="1295" max="1295" width="16.7109375" customWidth="1"/>
    <col min="1296" max="1296" width="17" customWidth="1"/>
    <col min="1540" max="1540" width="20.42578125" customWidth="1"/>
    <col min="1542" max="1542" width="11" customWidth="1"/>
    <col min="1544" max="1544" width="15.7109375" customWidth="1"/>
    <col min="1545" max="1545" width="10.85546875" customWidth="1"/>
    <col min="1546" max="1546" width="14" bestFit="1" customWidth="1"/>
    <col min="1547" max="1547" width="19.140625" customWidth="1"/>
    <col min="1549" max="1549" width="14.5703125" customWidth="1"/>
    <col min="1550" max="1550" width="13.7109375" customWidth="1"/>
    <col min="1551" max="1551" width="16.7109375" customWidth="1"/>
    <col min="1552" max="1552" width="17" customWidth="1"/>
    <col min="1796" max="1796" width="20.42578125" customWidth="1"/>
    <col min="1798" max="1798" width="11" customWidth="1"/>
    <col min="1800" max="1800" width="15.7109375" customWidth="1"/>
    <col min="1801" max="1801" width="10.85546875" customWidth="1"/>
    <col min="1802" max="1802" width="14" bestFit="1" customWidth="1"/>
    <col min="1803" max="1803" width="19.140625" customWidth="1"/>
    <col min="1805" max="1805" width="14.5703125" customWidth="1"/>
    <col min="1806" max="1806" width="13.7109375" customWidth="1"/>
    <col min="1807" max="1807" width="16.7109375" customWidth="1"/>
    <col min="1808" max="1808" width="17" customWidth="1"/>
    <col min="2052" max="2052" width="20.42578125" customWidth="1"/>
    <col min="2054" max="2054" width="11" customWidth="1"/>
    <col min="2056" max="2056" width="15.7109375" customWidth="1"/>
    <col min="2057" max="2057" width="10.85546875" customWidth="1"/>
    <col min="2058" max="2058" width="14" bestFit="1" customWidth="1"/>
    <col min="2059" max="2059" width="19.140625" customWidth="1"/>
    <col min="2061" max="2061" width="14.5703125" customWidth="1"/>
    <col min="2062" max="2062" width="13.7109375" customWidth="1"/>
    <col min="2063" max="2063" width="16.7109375" customWidth="1"/>
    <col min="2064" max="2064" width="17" customWidth="1"/>
    <col min="2308" max="2308" width="20.42578125" customWidth="1"/>
    <col min="2310" max="2310" width="11" customWidth="1"/>
    <col min="2312" max="2312" width="15.7109375" customWidth="1"/>
    <col min="2313" max="2313" width="10.85546875" customWidth="1"/>
    <col min="2314" max="2314" width="14" bestFit="1" customWidth="1"/>
    <col min="2315" max="2315" width="19.140625" customWidth="1"/>
    <col min="2317" max="2317" width="14.5703125" customWidth="1"/>
    <col min="2318" max="2318" width="13.7109375" customWidth="1"/>
    <col min="2319" max="2319" width="16.7109375" customWidth="1"/>
    <col min="2320" max="2320" width="17" customWidth="1"/>
    <col min="2564" max="2564" width="20.42578125" customWidth="1"/>
    <col min="2566" max="2566" width="11" customWidth="1"/>
    <col min="2568" max="2568" width="15.7109375" customWidth="1"/>
    <col min="2569" max="2569" width="10.85546875" customWidth="1"/>
    <col min="2570" max="2570" width="14" bestFit="1" customWidth="1"/>
    <col min="2571" max="2571" width="19.140625" customWidth="1"/>
    <col min="2573" max="2573" width="14.5703125" customWidth="1"/>
    <col min="2574" max="2574" width="13.7109375" customWidth="1"/>
    <col min="2575" max="2575" width="16.7109375" customWidth="1"/>
    <col min="2576" max="2576" width="17" customWidth="1"/>
    <col min="2820" max="2820" width="20.42578125" customWidth="1"/>
    <col min="2822" max="2822" width="11" customWidth="1"/>
    <col min="2824" max="2824" width="15.7109375" customWidth="1"/>
    <col min="2825" max="2825" width="10.85546875" customWidth="1"/>
    <col min="2826" max="2826" width="14" bestFit="1" customWidth="1"/>
    <col min="2827" max="2827" width="19.140625" customWidth="1"/>
    <col min="2829" max="2829" width="14.5703125" customWidth="1"/>
    <col min="2830" max="2830" width="13.7109375" customWidth="1"/>
    <col min="2831" max="2831" width="16.7109375" customWidth="1"/>
    <col min="2832" max="2832" width="17" customWidth="1"/>
    <col min="3076" max="3076" width="20.42578125" customWidth="1"/>
    <col min="3078" max="3078" width="11" customWidth="1"/>
    <col min="3080" max="3080" width="15.7109375" customWidth="1"/>
    <col min="3081" max="3081" width="10.85546875" customWidth="1"/>
    <col min="3082" max="3082" width="14" bestFit="1" customWidth="1"/>
    <col min="3083" max="3083" width="19.140625" customWidth="1"/>
    <col min="3085" max="3085" width="14.5703125" customWidth="1"/>
    <col min="3086" max="3086" width="13.7109375" customWidth="1"/>
    <col min="3087" max="3087" width="16.7109375" customWidth="1"/>
    <col min="3088" max="3088" width="17" customWidth="1"/>
    <col min="3332" max="3332" width="20.42578125" customWidth="1"/>
    <col min="3334" max="3334" width="11" customWidth="1"/>
    <col min="3336" max="3336" width="15.7109375" customWidth="1"/>
    <col min="3337" max="3337" width="10.85546875" customWidth="1"/>
    <col min="3338" max="3338" width="14" bestFit="1" customWidth="1"/>
    <col min="3339" max="3339" width="19.140625" customWidth="1"/>
    <col min="3341" max="3341" width="14.5703125" customWidth="1"/>
    <col min="3342" max="3342" width="13.7109375" customWidth="1"/>
    <col min="3343" max="3343" width="16.7109375" customWidth="1"/>
    <col min="3344" max="3344" width="17" customWidth="1"/>
    <col min="3588" max="3588" width="20.42578125" customWidth="1"/>
    <col min="3590" max="3590" width="11" customWidth="1"/>
    <col min="3592" max="3592" width="15.7109375" customWidth="1"/>
    <col min="3593" max="3593" width="10.85546875" customWidth="1"/>
    <col min="3594" max="3594" width="14" bestFit="1" customWidth="1"/>
    <col min="3595" max="3595" width="19.140625" customWidth="1"/>
    <col min="3597" max="3597" width="14.5703125" customWidth="1"/>
    <col min="3598" max="3598" width="13.7109375" customWidth="1"/>
    <col min="3599" max="3599" width="16.7109375" customWidth="1"/>
    <col min="3600" max="3600" width="17" customWidth="1"/>
    <col min="3844" max="3844" width="20.42578125" customWidth="1"/>
    <col min="3846" max="3846" width="11" customWidth="1"/>
    <col min="3848" max="3848" width="15.7109375" customWidth="1"/>
    <col min="3849" max="3849" width="10.85546875" customWidth="1"/>
    <col min="3850" max="3850" width="14" bestFit="1" customWidth="1"/>
    <col min="3851" max="3851" width="19.140625" customWidth="1"/>
    <col min="3853" max="3853" width="14.5703125" customWidth="1"/>
    <col min="3854" max="3854" width="13.7109375" customWidth="1"/>
    <col min="3855" max="3855" width="16.7109375" customWidth="1"/>
    <col min="3856" max="3856" width="17" customWidth="1"/>
    <col min="4100" max="4100" width="20.42578125" customWidth="1"/>
    <col min="4102" max="4102" width="11" customWidth="1"/>
    <col min="4104" max="4104" width="15.7109375" customWidth="1"/>
    <col min="4105" max="4105" width="10.85546875" customWidth="1"/>
    <col min="4106" max="4106" width="14" bestFit="1" customWidth="1"/>
    <col min="4107" max="4107" width="19.140625" customWidth="1"/>
    <col min="4109" max="4109" width="14.5703125" customWidth="1"/>
    <col min="4110" max="4110" width="13.7109375" customWidth="1"/>
    <col min="4111" max="4111" width="16.7109375" customWidth="1"/>
    <col min="4112" max="4112" width="17" customWidth="1"/>
    <col min="4356" max="4356" width="20.42578125" customWidth="1"/>
    <col min="4358" max="4358" width="11" customWidth="1"/>
    <col min="4360" max="4360" width="15.7109375" customWidth="1"/>
    <col min="4361" max="4361" width="10.85546875" customWidth="1"/>
    <col min="4362" max="4362" width="14" bestFit="1" customWidth="1"/>
    <col min="4363" max="4363" width="19.140625" customWidth="1"/>
    <col min="4365" max="4365" width="14.5703125" customWidth="1"/>
    <col min="4366" max="4366" width="13.7109375" customWidth="1"/>
    <col min="4367" max="4367" width="16.7109375" customWidth="1"/>
    <col min="4368" max="4368" width="17" customWidth="1"/>
    <col min="4612" max="4612" width="20.42578125" customWidth="1"/>
    <col min="4614" max="4614" width="11" customWidth="1"/>
    <col min="4616" max="4616" width="15.7109375" customWidth="1"/>
    <col min="4617" max="4617" width="10.85546875" customWidth="1"/>
    <col min="4618" max="4618" width="14" bestFit="1" customWidth="1"/>
    <col min="4619" max="4619" width="19.140625" customWidth="1"/>
    <col min="4621" max="4621" width="14.5703125" customWidth="1"/>
    <col min="4622" max="4622" width="13.7109375" customWidth="1"/>
    <col min="4623" max="4623" width="16.7109375" customWidth="1"/>
    <col min="4624" max="4624" width="17" customWidth="1"/>
    <col min="4868" max="4868" width="20.42578125" customWidth="1"/>
    <col min="4870" max="4870" width="11" customWidth="1"/>
    <col min="4872" max="4872" width="15.7109375" customWidth="1"/>
    <col min="4873" max="4873" width="10.85546875" customWidth="1"/>
    <col min="4874" max="4874" width="14" bestFit="1" customWidth="1"/>
    <col min="4875" max="4875" width="19.140625" customWidth="1"/>
    <col min="4877" max="4877" width="14.5703125" customWidth="1"/>
    <col min="4878" max="4878" width="13.7109375" customWidth="1"/>
    <col min="4879" max="4879" width="16.7109375" customWidth="1"/>
    <col min="4880" max="4880" width="17" customWidth="1"/>
    <col min="5124" max="5124" width="20.42578125" customWidth="1"/>
    <col min="5126" max="5126" width="11" customWidth="1"/>
    <col min="5128" max="5128" width="15.7109375" customWidth="1"/>
    <col min="5129" max="5129" width="10.85546875" customWidth="1"/>
    <col min="5130" max="5130" width="14" bestFit="1" customWidth="1"/>
    <col min="5131" max="5131" width="19.140625" customWidth="1"/>
    <col min="5133" max="5133" width="14.5703125" customWidth="1"/>
    <col min="5134" max="5134" width="13.7109375" customWidth="1"/>
    <col min="5135" max="5135" width="16.7109375" customWidth="1"/>
    <col min="5136" max="5136" width="17" customWidth="1"/>
    <col min="5380" max="5380" width="20.42578125" customWidth="1"/>
    <col min="5382" max="5382" width="11" customWidth="1"/>
    <col min="5384" max="5384" width="15.7109375" customWidth="1"/>
    <col min="5385" max="5385" width="10.85546875" customWidth="1"/>
    <col min="5386" max="5386" width="14" bestFit="1" customWidth="1"/>
    <col min="5387" max="5387" width="19.140625" customWidth="1"/>
    <col min="5389" max="5389" width="14.5703125" customWidth="1"/>
    <col min="5390" max="5390" width="13.7109375" customWidth="1"/>
    <col min="5391" max="5391" width="16.7109375" customWidth="1"/>
    <col min="5392" max="5392" width="17" customWidth="1"/>
    <col min="5636" max="5636" width="20.42578125" customWidth="1"/>
    <col min="5638" max="5638" width="11" customWidth="1"/>
    <col min="5640" max="5640" width="15.7109375" customWidth="1"/>
    <col min="5641" max="5641" width="10.85546875" customWidth="1"/>
    <col min="5642" max="5642" width="14" bestFit="1" customWidth="1"/>
    <col min="5643" max="5643" width="19.140625" customWidth="1"/>
    <col min="5645" max="5645" width="14.5703125" customWidth="1"/>
    <col min="5646" max="5646" width="13.7109375" customWidth="1"/>
    <col min="5647" max="5647" width="16.7109375" customWidth="1"/>
    <col min="5648" max="5648" width="17" customWidth="1"/>
    <col min="5892" max="5892" width="20.42578125" customWidth="1"/>
    <col min="5894" max="5894" width="11" customWidth="1"/>
    <col min="5896" max="5896" width="15.7109375" customWidth="1"/>
    <col min="5897" max="5897" width="10.85546875" customWidth="1"/>
    <col min="5898" max="5898" width="14" bestFit="1" customWidth="1"/>
    <col min="5899" max="5899" width="19.140625" customWidth="1"/>
    <col min="5901" max="5901" width="14.5703125" customWidth="1"/>
    <col min="5902" max="5902" width="13.7109375" customWidth="1"/>
    <col min="5903" max="5903" width="16.7109375" customWidth="1"/>
    <col min="5904" max="5904" width="17" customWidth="1"/>
    <col min="6148" max="6148" width="20.42578125" customWidth="1"/>
    <col min="6150" max="6150" width="11" customWidth="1"/>
    <col min="6152" max="6152" width="15.7109375" customWidth="1"/>
    <col min="6153" max="6153" width="10.85546875" customWidth="1"/>
    <col min="6154" max="6154" width="14" bestFit="1" customWidth="1"/>
    <col min="6155" max="6155" width="19.140625" customWidth="1"/>
    <col min="6157" max="6157" width="14.5703125" customWidth="1"/>
    <col min="6158" max="6158" width="13.7109375" customWidth="1"/>
    <col min="6159" max="6159" width="16.7109375" customWidth="1"/>
    <col min="6160" max="6160" width="17" customWidth="1"/>
    <col min="6404" max="6404" width="20.42578125" customWidth="1"/>
    <col min="6406" max="6406" width="11" customWidth="1"/>
    <col min="6408" max="6408" width="15.7109375" customWidth="1"/>
    <col min="6409" max="6409" width="10.85546875" customWidth="1"/>
    <col min="6410" max="6410" width="14" bestFit="1" customWidth="1"/>
    <col min="6411" max="6411" width="19.140625" customWidth="1"/>
    <col min="6413" max="6413" width="14.5703125" customWidth="1"/>
    <col min="6414" max="6414" width="13.7109375" customWidth="1"/>
    <col min="6415" max="6415" width="16.7109375" customWidth="1"/>
    <col min="6416" max="6416" width="17" customWidth="1"/>
    <col min="6660" max="6660" width="20.42578125" customWidth="1"/>
    <col min="6662" max="6662" width="11" customWidth="1"/>
    <col min="6664" max="6664" width="15.7109375" customWidth="1"/>
    <col min="6665" max="6665" width="10.85546875" customWidth="1"/>
    <col min="6666" max="6666" width="14" bestFit="1" customWidth="1"/>
    <col min="6667" max="6667" width="19.140625" customWidth="1"/>
    <col min="6669" max="6669" width="14.5703125" customWidth="1"/>
    <col min="6670" max="6670" width="13.7109375" customWidth="1"/>
    <col min="6671" max="6671" width="16.7109375" customWidth="1"/>
    <col min="6672" max="6672" width="17" customWidth="1"/>
    <col min="6916" max="6916" width="20.42578125" customWidth="1"/>
    <col min="6918" max="6918" width="11" customWidth="1"/>
    <col min="6920" max="6920" width="15.7109375" customWidth="1"/>
    <col min="6921" max="6921" width="10.85546875" customWidth="1"/>
    <col min="6922" max="6922" width="14" bestFit="1" customWidth="1"/>
    <col min="6923" max="6923" width="19.140625" customWidth="1"/>
    <col min="6925" max="6925" width="14.5703125" customWidth="1"/>
    <col min="6926" max="6926" width="13.7109375" customWidth="1"/>
    <col min="6927" max="6927" width="16.7109375" customWidth="1"/>
    <col min="6928" max="6928" width="17" customWidth="1"/>
    <col min="7172" max="7172" width="20.42578125" customWidth="1"/>
    <col min="7174" max="7174" width="11" customWidth="1"/>
    <col min="7176" max="7176" width="15.7109375" customWidth="1"/>
    <col min="7177" max="7177" width="10.85546875" customWidth="1"/>
    <col min="7178" max="7178" width="14" bestFit="1" customWidth="1"/>
    <col min="7179" max="7179" width="19.140625" customWidth="1"/>
    <col min="7181" max="7181" width="14.5703125" customWidth="1"/>
    <col min="7182" max="7182" width="13.7109375" customWidth="1"/>
    <col min="7183" max="7183" width="16.7109375" customWidth="1"/>
    <col min="7184" max="7184" width="17" customWidth="1"/>
    <col min="7428" max="7428" width="20.42578125" customWidth="1"/>
    <col min="7430" max="7430" width="11" customWidth="1"/>
    <col min="7432" max="7432" width="15.7109375" customWidth="1"/>
    <col min="7433" max="7433" width="10.85546875" customWidth="1"/>
    <col min="7434" max="7434" width="14" bestFit="1" customWidth="1"/>
    <col min="7435" max="7435" width="19.140625" customWidth="1"/>
    <col min="7437" max="7437" width="14.5703125" customWidth="1"/>
    <col min="7438" max="7438" width="13.7109375" customWidth="1"/>
    <col min="7439" max="7439" width="16.7109375" customWidth="1"/>
    <col min="7440" max="7440" width="17" customWidth="1"/>
    <col min="7684" max="7684" width="20.42578125" customWidth="1"/>
    <col min="7686" max="7686" width="11" customWidth="1"/>
    <col min="7688" max="7688" width="15.7109375" customWidth="1"/>
    <col min="7689" max="7689" width="10.85546875" customWidth="1"/>
    <col min="7690" max="7690" width="14" bestFit="1" customWidth="1"/>
    <col min="7691" max="7691" width="19.140625" customWidth="1"/>
    <col min="7693" max="7693" width="14.5703125" customWidth="1"/>
    <col min="7694" max="7694" width="13.7109375" customWidth="1"/>
    <col min="7695" max="7695" width="16.7109375" customWidth="1"/>
    <col min="7696" max="7696" width="17" customWidth="1"/>
    <col min="7940" max="7940" width="20.42578125" customWidth="1"/>
    <col min="7942" max="7942" width="11" customWidth="1"/>
    <col min="7944" max="7944" width="15.7109375" customWidth="1"/>
    <col min="7945" max="7945" width="10.85546875" customWidth="1"/>
    <col min="7946" max="7946" width="14" bestFit="1" customWidth="1"/>
    <col min="7947" max="7947" width="19.140625" customWidth="1"/>
    <col min="7949" max="7949" width="14.5703125" customWidth="1"/>
    <col min="7950" max="7950" width="13.7109375" customWidth="1"/>
    <col min="7951" max="7951" width="16.7109375" customWidth="1"/>
    <col min="7952" max="7952" width="17" customWidth="1"/>
    <col min="8196" max="8196" width="20.42578125" customWidth="1"/>
    <col min="8198" max="8198" width="11" customWidth="1"/>
    <col min="8200" max="8200" width="15.7109375" customWidth="1"/>
    <col min="8201" max="8201" width="10.85546875" customWidth="1"/>
    <col min="8202" max="8202" width="14" bestFit="1" customWidth="1"/>
    <col min="8203" max="8203" width="19.140625" customWidth="1"/>
    <col min="8205" max="8205" width="14.5703125" customWidth="1"/>
    <col min="8206" max="8206" width="13.7109375" customWidth="1"/>
    <col min="8207" max="8207" width="16.7109375" customWidth="1"/>
    <col min="8208" max="8208" width="17" customWidth="1"/>
    <col min="8452" max="8452" width="20.42578125" customWidth="1"/>
    <col min="8454" max="8454" width="11" customWidth="1"/>
    <col min="8456" max="8456" width="15.7109375" customWidth="1"/>
    <col min="8457" max="8457" width="10.85546875" customWidth="1"/>
    <col min="8458" max="8458" width="14" bestFit="1" customWidth="1"/>
    <col min="8459" max="8459" width="19.140625" customWidth="1"/>
    <col min="8461" max="8461" width="14.5703125" customWidth="1"/>
    <col min="8462" max="8462" width="13.7109375" customWidth="1"/>
    <col min="8463" max="8463" width="16.7109375" customWidth="1"/>
    <col min="8464" max="8464" width="17" customWidth="1"/>
    <col min="8708" max="8708" width="20.42578125" customWidth="1"/>
    <col min="8710" max="8710" width="11" customWidth="1"/>
    <col min="8712" max="8712" width="15.7109375" customWidth="1"/>
    <col min="8713" max="8713" width="10.85546875" customWidth="1"/>
    <col min="8714" max="8714" width="14" bestFit="1" customWidth="1"/>
    <col min="8715" max="8715" width="19.140625" customWidth="1"/>
    <col min="8717" max="8717" width="14.5703125" customWidth="1"/>
    <col min="8718" max="8718" width="13.7109375" customWidth="1"/>
    <col min="8719" max="8719" width="16.7109375" customWidth="1"/>
    <col min="8720" max="8720" width="17" customWidth="1"/>
    <col min="8964" max="8964" width="20.42578125" customWidth="1"/>
    <col min="8966" max="8966" width="11" customWidth="1"/>
    <col min="8968" max="8968" width="15.7109375" customWidth="1"/>
    <col min="8969" max="8969" width="10.85546875" customWidth="1"/>
    <col min="8970" max="8970" width="14" bestFit="1" customWidth="1"/>
    <col min="8971" max="8971" width="19.140625" customWidth="1"/>
    <col min="8973" max="8973" width="14.5703125" customWidth="1"/>
    <col min="8974" max="8974" width="13.7109375" customWidth="1"/>
    <col min="8975" max="8975" width="16.7109375" customWidth="1"/>
    <col min="8976" max="8976" width="17" customWidth="1"/>
    <col min="9220" max="9220" width="20.42578125" customWidth="1"/>
    <col min="9222" max="9222" width="11" customWidth="1"/>
    <col min="9224" max="9224" width="15.7109375" customWidth="1"/>
    <col min="9225" max="9225" width="10.85546875" customWidth="1"/>
    <col min="9226" max="9226" width="14" bestFit="1" customWidth="1"/>
    <col min="9227" max="9227" width="19.140625" customWidth="1"/>
    <col min="9229" max="9229" width="14.5703125" customWidth="1"/>
    <col min="9230" max="9230" width="13.7109375" customWidth="1"/>
    <col min="9231" max="9231" width="16.7109375" customWidth="1"/>
    <col min="9232" max="9232" width="17" customWidth="1"/>
    <col min="9476" max="9476" width="20.42578125" customWidth="1"/>
    <col min="9478" max="9478" width="11" customWidth="1"/>
    <col min="9480" max="9480" width="15.7109375" customWidth="1"/>
    <col min="9481" max="9481" width="10.85546875" customWidth="1"/>
    <col min="9482" max="9482" width="14" bestFit="1" customWidth="1"/>
    <col min="9483" max="9483" width="19.140625" customWidth="1"/>
    <col min="9485" max="9485" width="14.5703125" customWidth="1"/>
    <col min="9486" max="9486" width="13.7109375" customWidth="1"/>
    <col min="9487" max="9487" width="16.7109375" customWidth="1"/>
    <col min="9488" max="9488" width="17" customWidth="1"/>
    <col min="9732" max="9732" width="20.42578125" customWidth="1"/>
    <col min="9734" max="9734" width="11" customWidth="1"/>
    <col min="9736" max="9736" width="15.7109375" customWidth="1"/>
    <col min="9737" max="9737" width="10.85546875" customWidth="1"/>
    <col min="9738" max="9738" width="14" bestFit="1" customWidth="1"/>
    <col min="9739" max="9739" width="19.140625" customWidth="1"/>
    <col min="9741" max="9741" width="14.5703125" customWidth="1"/>
    <col min="9742" max="9742" width="13.7109375" customWidth="1"/>
    <col min="9743" max="9743" width="16.7109375" customWidth="1"/>
    <col min="9744" max="9744" width="17" customWidth="1"/>
    <col min="9988" max="9988" width="20.42578125" customWidth="1"/>
    <col min="9990" max="9990" width="11" customWidth="1"/>
    <col min="9992" max="9992" width="15.7109375" customWidth="1"/>
    <col min="9993" max="9993" width="10.85546875" customWidth="1"/>
    <col min="9994" max="9994" width="14" bestFit="1" customWidth="1"/>
    <col min="9995" max="9995" width="19.140625" customWidth="1"/>
    <col min="9997" max="9997" width="14.5703125" customWidth="1"/>
    <col min="9998" max="9998" width="13.7109375" customWidth="1"/>
    <col min="9999" max="9999" width="16.7109375" customWidth="1"/>
    <col min="10000" max="10000" width="17" customWidth="1"/>
    <col min="10244" max="10244" width="20.42578125" customWidth="1"/>
    <col min="10246" max="10246" width="11" customWidth="1"/>
    <col min="10248" max="10248" width="15.7109375" customWidth="1"/>
    <col min="10249" max="10249" width="10.85546875" customWidth="1"/>
    <col min="10250" max="10250" width="14" bestFit="1" customWidth="1"/>
    <col min="10251" max="10251" width="19.140625" customWidth="1"/>
    <col min="10253" max="10253" width="14.5703125" customWidth="1"/>
    <col min="10254" max="10254" width="13.7109375" customWidth="1"/>
    <col min="10255" max="10255" width="16.7109375" customWidth="1"/>
    <col min="10256" max="10256" width="17" customWidth="1"/>
    <col min="10500" max="10500" width="20.42578125" customWidth="1"/>
    <col min="10502" max="10502" width="11" customWidth="1"/>
    <col min="10504" max="10504" width="15.7109375" customWidth="1"/>
    <col min="10505" max="10505" width="10.85546875" customWidth="1"/>
    <col min="10506" max="10506" width="14" bestFit="1" customWidth="1"/>
    <col min="10507" max="10507" width="19.140625" customWidth="1"/>
    <col min="10509" max="10509" width="14.5703125" customWidth="1"/>
    <col min="10510" max="10510" width="13.7109375" customWidth="1"/>
    <col min="10511" max="10511" width="16.7109375" customWidth="1"/>
    <col min="10512" max="10512" width="17" customWidth="1"/>
    <col min="10756" max="10756" width="20.42578125" customWidth="1"/>
    <col min="10758" max="10758" width="11" customWidth="1"/>
    <col min="10760" max="10760" width="15.7109375" customWidth="1"/>
    <col min="10761" max="10761" width="10.85546875" customWidth="1"/>
    <col min="10762" max="10762" width="14" bestFit="1" customWidth="1"/>
    <col min="10763" max="10763" width="19.140625" customWidth="1"/>
    <col min="10765" max="10765" width="14.5703125" customWidth="1"/>
    <col min="10766" max="10766" width="13.7109375" customWidth="1"/>
    <col min="10767" max="10767" width="16.7109375" customWidth="1"/>
    <col min="10768" max="10768" width="17" customWidth="1"/>
    <col min="11012" max="11012" width="20.42578125" customWidth="1"/>
    <col min="11014" max="11014" width="11" customWidth="1"/>
    <col min="11016" max="11016" width="15.7109375" customWidth="1"/>
    <col min="11017" max="11017" width="10.85546875" customWidth="1"/>
    <col min="11018" max="11018" width="14" bestFit="1" customWidth="1"/>
    <col min="11019" max="11019" width="19.140625" customWidth="1"/>
    <col min="11021" max="11021" width="14.5703125" customWidth="1"/>
    <col min="11022" max="11022" width="13.7109375" customWidth="1"/>
    <col min="11023" max="11023" width="16.7109375" customWidth="1"/>
    <col min="11024" max="11024" width="17" customWidth="1"/>
    <col min="11268" max="11268" width="20.42578125" customWidth="1"/>
    <col min="11270" max="11270" width="11" customWidth="1"/>
    <col min="11272" max="11272" width="15.7109375" customWidth="1"/>
    <col min="11273" max="11273" width="10.85546875" customWidth="1"/>
    <col min="11274" max="11274" width="14" bestFit="1" customWidth="1"/>
    <col min="11275" max="11275" width="19.140625" customWidth="1"/>
    <col min="11277" max="11277" width="14.5703125" customWidth="1"/>
    <col min="11278" max="11278" width="13.7109375" customWidth="1"/>
    <col min="11279" max="11279" width="16.7109375" customWidth="1"/>
    <col min="11280" max="11280" width="17" customWidth="1"/>
    <col min="11524" max="11524" width="20.42578125" customWidth="1"/>
    <col min="11526" max="11526" width="11" customWidth="1"/>
    <col min="11528" max="11528" width="15.7109375" customWidth="1"/>
    <col min="11529" max="11529" width="10.85546875" customWidth="1"/>
    <col min="11530" max="11530" width="14" bestFit="1" customWidth="1"/>
    <col min="11531" max="11531" width="19.140625" customWidth="1"/>
    <col min="11533" max="11533" width="14.5703125" customWidth="1"/>
    <col min="11534" max="11534" width="13.7109375" customWidth="1"/>
    <col min="11535" max="11535" width="16.7109375" customWidth="1"/>
    <col min="11536" max="11536" width="17" customWidth="1"/>
    <col min="11780" max="11780" width="20.42578125" customWidth="1"/>
    <col min="11782" max="11782" width="11" customWidth="1"/>
    <col min="11784" max="11784" width="15.7109375" customWidth="1"/>
    <col min="11785" max="11785" width="10.85546875" customWidth="1"/>
    <col min="11786" max="11786" width="14" bestFit="1" customWidth="1"/>
    <col min="11787" max="11787" width="19.140625" customWidth="1"/>
    <col min="11789" max="11789" width="14.5703125" customWidth="1"/>
    <col min="11790" max="11790" width="13.7109375" customWidth="1"/>
    <col min="11791" max="11791" width="16.7109375" customWidth="1"/>
    <col min="11792" max="11792" width="17" customWidth="1"/>
    <col min="12036" max="12036" width="20.42578125" customWidth="1"/>
    <col min="12038" max="12038" width="11" customWidth="1"/>
    <col min="12040" max="12040" width="15.7109375" customWidth="1"/>
    <col min="12041" max="12041" width="10.85546875" customWidth="1"/>
    <col min="12042" max="12042" width="14" bestFit="1" customWidth="1"/>
    <col min="12043" max="12043" width="19.140625" customWidth="1"/>
    <col min="12045" max="12045" width="14.5703125" customWidth="1"/>
    <col min="12046" max="12046" width="13.7109375" customWidth="1"/>
    <col min="12047" max="12047" width="16.7109375" customWidth="1"/>
    <col min="12048" max="12048" width="17" customWidth="1"/>
    <col min="12292" max="12292" width="20.42578125" customWidth="1"/>
    <col min="12294" max="12294" width="11" customWidth="1"/>
    <col min="12296" max="12296" width="15.7109375" customWidth="1"/>
    <col min="12297" max="12297" width="10.85546875" customWidth="1"/>
    <col min="12298" max="12298" width="14" bestFit="1" customWidth="1"/>
    <col min="12299" max="12299" width="19.140625" customWidth="1"/>
    <col min="12301" max="12301" width="14.5703125" customWidth="1"/>
    <col min="12302" max="12302" width="13.7109375" customWidth="1"/>
    <col min="12303" max="12303" width="16.7109375" customWidth="1"/>
    <col min="12304" max="12304" width="17" customWidth="1"/>
    <col min="12548" max="12548" width="20.42578125" customWidth="1"/>
    <col min="12550" max="12550" width="11" customWidth="1"/>
    <col min="12552" max="12552" width="15.7109375" customWidth="1"/>
    <col min="12553" max="12553" width="10.85546875" customWidth="1"/>
    <col min="12554" max="12554" width="14" bestFit="1" customWidth="1"/>
    <col min="12555" max="12555" width="19.140625" customWidth="1"/>
    <col min="12557" max="12557" width="14.5703125" customWidth="1"/>
    <col min="12558" max="12558" width="13.7109375" customWidth="1"/>
    <col min="12559" max="12559" width="16.7109375" customWidth="1"/>
    <col min="12560" max="12560" width="17" customWidth="1"/>
    <col min="12804" max="12804" width="20.42578125" customWidth="1"/>
    <col min="12806" max="12806" width="11" customWidth="1"/>
    <col min="12808" max="12808" width="15.7109375" customWidth="1"/>
    <col min="12809" max="12809" width="10.85546875" customWidth="1"/>
    <col min="12810" max="12810" width="14" bestFit="1" customWidth="1"/>
    <col min="12811" max="12811" width="19.140625" customWidth="1"/>
    <col min="12813" max="12813" width="14.5703125" customWidth="1"/>
    <col min="12814" max="12814" width="13.7109375" customWidth="1"/>
    <col min="12815" max="12815" width="16.7109375" customWidth="1"/>
    <col min="12816" max="12816" width="17" customWidth="1"/>
    <col min="13060" max="13060" width="20.42578125" customWidth="1"/>
    <col min="13062" max="13062" width="11" customWidth="1"/>
    <col min="13064" max="13064" width="15.7109375" customWidth="1"/>
    <col min="13065" max="13065" width="10.85546875" customWidth="1"/>
    <col min="13066" max="13066" width="14" bestFit="1" customWidth="1"/>
    <col min="13067" max="13067" width="19.140625" customWidth="1"/>
    <col min="13069" max="13069" width="14.5703125" customWidth="1"/>
    <col min="13070" max="13070" width="13.7109375" customWidth="1"/>
    <col min="13071" max="13071" width="16.7109375" customWidth="1"/>
    <col min="13072" max="13072" width="17" customWidth="1"/>
    <col min="13316" max="13316" width="20.42578125" customWidth="1"/>
    <col min="13318" max="13318" width="11" customWidth="1"/>
    <col min="13320" max="13320" width="15.7109375" customWidth="1"/>
    <col min="13321" max="13321" width="10.85546875" customWidth="1"/>
    <col min="13322" max="13322" width="14" bestFit="1" customWidth="1"/>
    <col min="13323" max="13323" width="19.140625" customWidth="1"/>
    <col min="13325" max="13325" width="14.5703125" customWidth="1"/>
    <col min="13326" max="13326" width="13.7109375" customWidth="1"/>
    <col min="13327" max="13327" width="16.7109375" customWidth="1"/>
    <col min="13328" max="13328" width="17" customWidth="1"/>
    <col min="13572" max="13572" width="20.42578125" customWidth="1"/>
    <col min="13574" max="13574" width="11" customWidth="1"/>
    <col min="13576" max="13576" width="15.7109375" customWidth="1"/>
    <col min="13577" max="13577" width="10.85546875" customWidth="1"/>
    <col min="13578" max="13578" width="14" bestFit="1" customWidth="1"/>
    <col min="13579" max="13579" width="19.140625" customWidth="1"/>
    <col min="13581" max="13581" width="14.5703125" customWidth="1"/>
    <col min="13582" max="13582" width="13.7109375" customWidth="1"/>
    <col min="13583" max="13583" width="16.7109375" customWidth="1"/>
    <col min="13584" max="13584" width="17" customWidth="1"/>
    <col min="13828" max="13828" width="20.42578125" customWidth="1"/>
    <col min="13830" max="13830" width="11" customWidth="1"/>
    <col min="13832" max="13832" width="15.7109375" customWidth="1"/>
    <col min="13833" max="13833" width="10.85546875" customWidth="1"/>
    <col min="13834" max="13834" width="14" bestFit="1" customWidth="1"/>
    <col min="13835" max="13835" width="19.140625" customWidth="1"/>
    <col min="13837" max="13837" width="14.5703125" customWidth="1"/>
    <col min="13838" max="13838" width="13.7109375" customWidth="1"/>
    <col min="13839" max="13839" width="16.7109375" customWidth="1"/>
    <col min="13840" max="13840" width="17" customWidth="1"/>
    <col min="14084" max="14084" width="20.42578125" customWidth="1"/>
    <col min="14086" max="14086" width="11" customWidth="1"/>
    <col min="14088" max="14088" width="15.7109375" customWidth="1"/>
    <col min="14089" max="14089" width="10.85546875" customWidth="1"/>
    <col min="14090" max="14090" width="14" bestFit="1" customWidth="1"/>
    <col min="14091" max="14091" width="19.140625" customWidth="1"/>
    <col min="14093" max="14093" width="14.5703125" customWidth="1"/>
    <col min="14094" max="14094" width="13.7109375" customWidth="1"/>
    <col min="14095" max="14095" width="16.7109375" customWidth="1"/>
    <col min="14096" max="14096" width="17" customWidth="1"/>
    <col min="14340" max="14340" width="20.42578125" customWidth="1"/>
    <col min="14342" max="14342" width="11" customWidth="1"/>
    <col min="14344" max="14344" width="15.7109375" customWidth="1"/>
    <col min="14345" max="14345" width="10.85546875" customWidth="1"/>
    <col min="14346" max="14346" width="14" bestFit="1" customWidth="1"/>
    <col min="14347" max="14347" width="19.140625" customWidth="1"/>
    <col min="14349" max="14349" width="14.5703125" customWidth="1"/>
    <col min="14350" max="14350" width="13.7109375" customWidth="1"/>
    <col min="14351" max="14351" width="16.7109375" customWidth="1"/>
    <col min="14352" max="14352" width="17" customWidth="1"/>
    <col min="14596" max="14596" width="20.42578125" customWidth="1"/>
    <col min="14598" max="14598" width="11" customWidth="1"/>
    <col min="14600" max="14600" width="15.7109375" customWidth="1"/>
    <col min="14601" max="14601" width="10.85546875" customWidth="1"/>
    <col min="14602" max="14602" width="14" bestFit="1" customWidth="1"/>
    <col min="14603" max="14603" width="19.140625" customWidth="1"/>
    <col min="14605" max="14605" width="14.5703125" customWidth="1"/>
    <col min="14606" max="14606" width="13.7109375" customWidth="1"/>
    <col min="14607" max="14607" width="16.7109375" customWidth="1"/>
    <col min="14608" max="14608" width="17" customWidth="1"/>
    <col min="14852" max="14852" width="20.42578125" customWidth="1"/>
    <col min="14854" max="14854" width="11" customWidth="1"/>
    <col min="14856" max="14856" width="15.7109375" customWidth="1"/>
    <col min="14857" max="14857" width="10.85546875" customWidth="1"/>
    <col min="14858" max="14858" width="14" bestFit="1" customWidth="1"/>
    <col min="14859" max="14859" width="19.140625" customWidth="1"/>
    <col min="14861" max="14861" width="14.5703125" customWidth="1"/>
    <col min="14862" max="14862" width="13.7109375" customWidth="1"/>
    <col min="14863" max="14863" width="16.7109375" customWidth="1"/>
    <col min="14864" max="14864" width="17" customWidth="1"/>
    <col min="15108" max="15108" width="20.42578125" customWidth="1"/>
    <col min="15110" max="15110" width="11" customWidth="1"/>
    <col min="15112" max="15112" width="15.7109375" customWidth="1"/>
    <col min="15113" max="15113" width="10.85546875" customWidth="1"/>
    <col min="15114" max="15114" width="14" bestFit="1" customWidth="1"/>
    <col min="15115" max="15115" width="19.140625" customWidth="1"/>
    <col min="15117" max="15117" width="14.5703125" customWidth="1"/>
    <col min="15118" max="15118" width="13.7109375" customWidth="1"/>
    <col min="15119" max="15119" width="16.7109375" customWidth="1"/>
    <col min="15120" max="15120" width="17" customWidth="1"/>
    <col min="15364" max="15364" width="20.42578125" customWidth="1"/>
    <col min="15366" max="15366" width="11" customWidth="1"/>
    <col min="15368" max="15368" width="15.7109375" customWidth="1"/>
    <col min="15369" max="15369" width="10.85546875" customWidth="1"/>
    <col min="15370" max="15370" width="14" bestFit="1" customWidth="1"/>
    <col min="15371" max="15371" width="19.140625" customWidth="1"/>
    <col min="15373" max="15373" width="14.5703125" customWidth="1"/>
    <col min="15374" max="15374" width="13.7109375" customWidth="1"/>
    <col min="15375" max="15375" width="16.7109375" customWidth="1"/>
    <col min="15376" max="15376" width="17" customWidth="1"/>
    <col min="15620" max="15620" width="20.42578125" customWidth="1"/>
    <col min="15622" max="15622" width="11" customWidth="1"/>
    <col min="15624" max="15624" width="15.7109375" customWidth="1"/>
    <col min="15625" max="15625" width="10.85546875" customWidth="1"/>
    <col min="15626" max="15626" width="14" bestFit="1" customWidth="1"/>
    <col min="15627" max="15627" width="19.140625" customWidth="1"/>
    <col min="15629" max="15629" width="14.5703125" customWidth="1"/>
    <col min="15630" max="15630" width="13.7109375" customWidth="1"/>
    <col min="15631" max="15631" width="16.7109375" customWidth="1"/>
    <col min="15632" max="15632" width="17" customWidth="1"/>
    <col min="15876" max="15876" width="20.42578125" customWidth="1"/>
    <col min="15878" max="15878" width="11" customWidth="1"/>
    <col min="15880" max="15880" width="15.7109375" customWidth="1"/>
    <col min="15881" max="15881" width="10.85546875" customWidth="1"/>
    <col min="15882" max="15882" width="14" bestFit="1" customWidth="1"/>
    <col min="15883" max="15883" width="19.140625" customWidth="1"/>
    <col min="15885" max="15885" width="14.5703125" customWidth="1"/>
    <col min="15886" max="15886" width="13.7109375" customWidth="1"/>
    <col min="15887" max="15887" width="16.7109375" customWidth="1"/>
    <col min="15888" max="15888" width="17" customWidth="1"/>
    <col min="16132" max="16132" width="20.42578125" customWidth="1"/>
    <col min="16134" max="16134" width="11" customWidth="1"/>
    <col min="16136" max="16136" width="15.7109375" customWidth="1"/>
    <col min="16137" max="16137" width="10.85546875" customWidth="1"/>
    <col min="16138" max="16138" width="14" bestFit="1" customWidth="1"/>
    <col min="16139" max="16139" width="19.140625" customWidth="1"/>
    <col min="16141" max="16141" width="14.5703125" customWidth="1"/>
    <col min="16142" max="16142" width="13.7109375" customWidth="1"/>
    <col min="16143" max="16143" width="16.7109375" customWidth="1"/>
    <col min="16144" max="16144" width="17" customWidth="1"/>
  </cols>
  <sheetData>
    <row r="2" spans="1:25" ht="15.75" thickBot="1" x14ac:dyDescent="0.3">
      <c r="G2" s="31"/>
    </row>
    <row r="3" spans="1:25" ht="21" thickBot="1" x14ac:dyDescent="0.3">
      <c r="B3" s="637" t="s">
        <v>80</v>
      </c>
      <c r="C3" s="637"/>
      <c r="D3" s="293"/>
      <c r="E3" s="293"/>
      <c r="F3" s="20">
        <v>0</v>
      </c>
    </row>
    <row r="4" spans="1:25" x14ac:dyDescent="0.25">
      <c r="Q4" s="561"/>
      <c r="R4" s="561"/>
      <c r="S4" s="561"/>
      <c r="T4" s="561"/>
      <c r="V4" s="561"/>
      <c r="W4" s="561"/>
      <c r="X4" s="561"/>
      <c r="Y4" s="561"/>
    </row>
    <row r="5" spans="1:25" ht="15" customHeight="1" thickBot="1" x14ac:dyDescent="0.3">
      <c r="Q5" s="561"/>
      <c r="R5" s="561"/>
      <c r="S5" s="561"/>
      <c r="T5" s="561"/>
      <c r="V5" s="561"/>
      <c r="W5" s="561"/>
      <c r="X5" s="561"/>
      <c r="Y5" s="561"/>
    </row>
    <row r="6" spans="1:25" ht="45" customHeight="1" thickBot="1" x14ac:dyDescent="0.3">
      <c r="E6" s="482" t="s">
        <v>144</v>
      </c>
    </row>
    <row r="7" spans="1:25" ht="38.25" customHeight="1" thickBot="1" x14ac:dyDescent="0.3">
      <c r="A7" s="21" t="s">
        <v>81</v>
      </c>
      <c r="B7" s="638" t="s">
        <v>82</v>
      </c>
      <c r="C7" s="639"/>
      <c r="D7" s="510" t="s">
        <v>107</v>
      </c>
      <c r="E7" s="511" t="s">
        <v>108</v>
      </c>
      <c r="G7" s="22" t="s">
        <v>83</v>
      </c>
      <c r="H7" s="23" t="s">
        <v>84</v>
      </c>
      <c r="I7" s="24" t="s">
        <v>85</v>
      </c>
      <c r="J7" s="25" t="s">
        <v>86</v>
      </c>
      <c r="L7" s="22" t="s">
        <v>87</v>
      </c>
      <c r="M7" s="23" t="s">
        <v>84</v>
      </c>
      <c r="N7" s="24" t="s">
        <v>85</v>
      </c>
      <c r="O7" s="25" t="s">
        <v>86</v>
      </c>
      <c r="Q7" s="32"/>
      <c r="R7" s="33"/>
      <c r="S7" s="34"/>
      <c r="T7" s="35"/>
      <c r="V7" s="32"/>
      <c r="W7" s="33"/>
      <c r="X7" s="34"/>
      <c r="Y7" s="35"/>
    </row>
    <row r="8" spans="1:25" x14ac:dyDescent="0.25">
      <c r="A8" s="313" t="s">
        <v>44</v>
      </c>
      <c r="B8" s="507">
        <f>'Cardápio CMEI Integral 2017'!B236</f>
        <v>8</v>
      </c>
      <c r="C8" s="508" t="s">
        <v>88</v>
      </c>
      <c r="D8" s="508">
        <v>1</v>
      </c>
      <c r="E8" s="509">
        <f t="shared" ref="E8:E51" si="0">B8*D8</f>
        <v>8</v>
      </c>
      <c r="G8" s="26">
        <f>E8*$F$3/400</f>
        <v>0</v>
      </c>
      <c r="H8" s="14" t="s">
        <v>38</v>
      </c>
      <c r="I8" s="29"/>
      <c r="J8" s="27">
        <f t="shared" ref="J8:J51" si="1">G8*I8</f>
        <v>0</v>
      </c>
      <c r="L8" s="28">
        <f t="shared" ref="L8:L51" si="2">G8*4</f>
        <v>0</v>
      </c>
      <c r="M8" s="14" t="s">
        <v>38</v>
      </c>
      <c r="N8" s="29"/>
      <c r="O8" s="27">
        <f t="shared" ref="O8:O51" si="3">L8*N8</f>
        <v>0</v>
      </c>
      <c r="Q8" s="2"/>
      <c r="R8" s="36"/>
      <c r="S8" s="37"/>
      <c r="T8" s="12"/>
      <c r="V8" s="2"/>
      <c r="W8" s="36"/>
      <c r="X8" s="37"/>
      <c r="Y8" s="12"/>
    </row>
    <row r="9" spans="1:25" x14ac:dyDescent="0.25">
      <c r="A9" s="7" t="s">
        <v>28</v>
      </c>
      <c r="B9" s="1">
        <f>'Cardápio CMEI Integral 2017'!K64+'Cardápio CMEI Integral 2017'!B87+'Cardápio CMEI Integral 2017'!B238+'Cardápio CMEI Integral 2017'!K266</f>
        <v>45</v>
      </c>
      <c r="C9" s="57" t="s">
        <v>88</v>
      </c>
      <c r="D9" s="57">
        <v>1</v>
      </c>
      <c r="E9" s="509">
        <f t="shared" si="0"/>
        <v>45</v>
      </c>
      <c r="G9" s="26">
        <f>E9*$F$3/1000</f>
        <v>0</v>
      </c>
      <c r="H9" s="14" t="s">
        <v>25</v>
      </c>
      <c r="I9" s="29"/>
      <c r="J9" s="27">
        <f t="shared" si="1"/>
        <v>0</v>
      </c>
      <c r="L9" s="28">
        <f t="shared" si="2"/>
        <v>0</v>
      </c>
      <c r="M9" s="14" t="s">
        <v>25</v>
      </c>
      <c r="N9" s="29"/>
      <c r="O9" s="27">
        <f t="shared" si="3"/>
        <v>0</v>
      </c>
      <c r="Q9" s="10"/>
      <c r="R9" s="36"/>
      <c r="S9" s="37"/>
      <c r="T9" s="12"/>
      <c r="V9" s="10"/>
      <c r="W9" s="36"/>
      <c r="X9" s="37"/>
      <c r="Y9" s="12"/>
    </row>
    <row r="10" spans="1:25" x14ac:dyDescent="0.25">
      <c r="A10" s="3" t="s">
        <v>3</v>
      </c>
      <c r="B10" s="307">
        <f>'Cardápio CMEI Integral 2017'!B47+'Cardápio CMEI Integral 2017'!K47+'Cardápio CMEI Integral 2017'!T49+'Cardápio CMEI Integral 2017'!B65+'Cardápio CMEI Integral 2017'!B95+'Cardápio CMEI Integral 2017'!K95+'Cardápio CMEI Integral 2017'!B122+'Cardápio CMEI Integral 2017'!B148+'Cardápio CMEI Integral 2017'!K148+'Cardápio CMEI Integral 2017'!U149+'Cardápio CMEI Integral 2017'!B166+'Cardápio CMEI Integral 2017'!B194+'Cardápio CMEI Integral 2017'!K192+'Cardápio CMEI Integral 2017'!B223+'Cardápio CMEI Integral 2017'!B249+'Cardápio CMEI Integral 2017'!K256</f>
        <v>8.5</v>
      </c>
      <c r="C10" s="57" t="s">
        <v>88</v>
      </c>
      <c r="D10" s="57">
        <v>1.18</v>
      </c>
      <c r="E10" s="509">
        <f t="shared" si="0"/>
        <v>10.029999999999999</v>
      </c>
      <c r="G10" s="26">
        <f>E10*$F$3/1000</f>
        <v>0</v>
      </c>
      <c r="H10" s="14" t="s">
        <v>25</v>
      </c>
      <c r="I10" s="29"/>
      <c r="J10" s="27">
        <f t="shared" si="1"/>
        <v>0</v>
      </c>
      <c r="L10" s="28">
        <f t="shared" si="2"/>
        <v>0</v>
      </c>
      <c r="M10" s="14" t="s">
        <v>25</v>
      </c>
      <c r="N10" s="29"/>
      <c r="O10" s="27">
        <f t="shared" si="3"/>
        <v>0</v>
      </c>
      <c r="Q10" s="2"/>
      <c r="R10" s="36"/>
      <c r="S10" s="37"/>
      <c r="T10" s="12"/>
      <c r="V10" s="2"/>
      <c r="W10" s="36"/>
      <c r="X10" s="37"/>
      <c r="Y10" s="12"/>
    </row>
    <row r="11" spans="1:25" s="467" customFormat="1" x14ac:dyDescent="0.25">
      <c r="A11" s="3" t="s">
        <v>32</v>
      </c>
      <c r="B11" s="466">
        <f>'Cardápio CMEI Integral 2017'!B54</f>
        <v>1</v>
      </c>
      <c r="C11" s="57" t="s">
        <v>88</v>
      </c>
      <c r="D11" s="57">
        <v>1</v>
      </c>
      <c r="E11" s="509">
        <f t="shared" si="0"/>
        <v>1</v>
      </c>
      <c r="G11" s="468">
        <f>E11*$F$3/200</f>
        <v>0</v>
      </c>
      <c r="H11" s="14" t="s">
        <v>89</v>
      </c>
      <c r="I11" s="394"/>
      <c r="J11" s="469">
        <f t="shared" si="1"/>
        <v>0</v>
      </c>
      <c r="L11" s="470">
        <f t="shared" si="2"/>
        <v>0</v>
      </c>
      <c r="M11" s="14" t="s">
        <v>89</v>
      </c>
      <c r="N11" s="394"/>
      <c r="O11" s="469">
        <f t="shared" si="3"/>
        <v>0</v>
      </c>
      <c r="Q11" s="2"/>
      <c r="R11" s="471"/>
      <c r="S11" s="472"/>
      <c r="T11" s="12"/>
      <c r="U11" s="473"/>
      <c r="V11" s="2"/>
      <c r="W11" s="471"/>
      <c r="X11" s="472"/>
      <c r="Y11" s="12"/>
    </row>
    <row r="12" spans="1:25" x14ac:dyDescent="0.25">
      <c r="A12" s="7" t="s">
        <v>49</v>
      </c>
      <c r="B12" s="1">
        <f>'Cardápio CMEI Integral 2017'!K45+'Cardápio CMEI Integral 2017'!K94+'Cardápio CMEI Integral 2017'!K146+'Cardápio CMEI Integral 2017'!K190+'Cardápio CMEI Integral 2017'!K254</f>
        <v>100</v>
      </c>
      <c r="C12" s="57" t="s">
        <v>88</v>
      </c>
      <c r="D12" s="57">
        <v>1</v>
      </c>
      <c r="E12" s="509">
        <f t="shared" si="0"/>
        <v>100</v>
      </c>
      <c r="G12" s="26">
        <f t="shared" ref="G12:G17" si="4">E12*$F$3/1000</f>
        <v>0</v>
      </c>
      <c r="H12" s="14" t="s">
        <v>25</v>
      </c>
      <c r="I12" s="29"/>
      <c r="J12" s="27">
        <f t="shared" si="1"/>
        <v>0</v>
      </c>
      <c r="L12" s="28">
        <f t="shared" si="2"/>
        <v>0</v>
      </c>
      <c r="M12" s="14" t="s">
        <v>25</v>
      </c>
      <c r="N12" s="29"/>
      <c r="O12" s="27">
        <f t="shared" si="3"/>
        <v>0</v>
      </c>
      <c r="Q12" s="10"/>
      <c r="R12" s="36"/>
      <c r="S12" s="37"/>
      <c r="T12" s="12"/>
      <c r="V12" s="10"/>
      <c r="W12" s="36"/>
      <c r="X12" s="37"/>
      <c r="Y12" s="12"/>
    </row>
    <row r="13" spans="1:25" x14ac:dyDescent="0.25">
      <c r="A13" s="7" t="s">
        <v>63</v>
      </c>
      <c r="B13" s="1">
        <f>'Cardápio CMEI Integral 2017'!B164</f>
        <v>25</v>
      </c>
      <c r="C13" s="57" t="s">
        <v>88</v>
      </c>
      <c r="D13" s="57">
        <v>1</v>
      </c>
      <c r="E13" s="509">
        <f t="shared" si="0"/>
        <v>25</v>
      </c>
      <c r="G13" s="26">
        <f t="shared" si="4"/>
        <v>0</v>
      </c>
      <c r="H13" s="14" t="s">
        <v>25</v>
      </c>
      <c r="I13" s="29"/>
      <c r="J13" s="27">
        <f t="shared" si="1"/>
        <v>0</v>
      </c>
      <c r="L13" s="28">
        <f t="shared" si="2"/>
        <v>0</v>
      </c>
      <c r="M13" s="14" t="s">
        <v>25</v>
      </c>
      <c r="N13" s="29"/>
      <c r="O13" s="27">
        <f t="shared" si="3"/>
        <v>0</v>
      </c>
      <c r="Q13" s="10"/>
      <c r="R13" s="36"/>
      <c r="S13" s="37"/>
      <c r="T13" s="12"/>
      <c r="V13" s="10"/>
      <c r="W13" s="36"/>
      <c r="X13" s="37"/>
      <c r="Y13" s="12"/>
    </row>
    <row r="14" spans="1:25" x14ac:dyDescent="0.25">
      <c r="A14" s="7" t="s">
        <v>27</v>
      </c>
      <c r="B14" s="463">
        <f>'Cardápio CMEI Integral 2017'!K54+'Cardápio CMEI Integral 2017'!B85+'Cardápio CMEI Integral 2017'!B136+'Cardápio CMEI Integral 2017'!K164</f>
        <v>210</v>
      </c>
      <c r="C14" s="57" t="s">
        <v>88</v>
      </c>
      <c r="D14" s="57">
        <v>1.55</v>
      </c>
      <c r="E14" s="509">
        <f t="shared" si="0"/>
        <v>325.5</v>
      </c>
      <c r="G14" s="26">
        <f t="shared" si="4"/>
        <v>0</v>
      </c>
      <c r="H14" s="14" t="s">
        <v>25</v>
      </c>
      <c r="I14" s="29"/>
      <c r="J14" s="27">
        <f t="shared" si="1"/>
        <v>0</v>
      </c>
      <c r="L14" s="28">
        <f t="shared" si="2"/>
        <v>0</v>
      </c>
      <c r="M14" s="14" t="s">
        <v>25</v>
      </c>
      <c r="N14" s="29"/>
      <c r="O14" s="27">
        <f t="shared" si="3"/>
        <v>0</v>
      </c>
      <c r="Q14" s="10"/>
      <c r="R14" s="36"/>
      <c r="S14" s="37"/>
      <c r="T14" s="12"/>
      <c r="V14" s="10"/>
      <c r="W14" s="36"/>
      <c r="X14" s="37"/>
      <c r="Y14" s="12"/>
    </row>
    <row r="15" spans="1:25" x14ac:dyDescent="0.25">
      <c r="A15" s="3" t="s">
        <v>65</v>
      </c>
      <c r="B15" s="463">
        <f>'Cardápio CMEI Integral 2017'!B104+'Cardápio CMEI Integral 2017'!B216</f>
        <v>45</v>
      </c>
      <c r="C15" s="57" t="s">
        <v>88</v>
      </c>
      <c r="D15" s="57">
        <v>1.21</v>
      </c>
      <c r="E15" s="509">
        <f t="shared" si="0"/>
        <v>54.449999999999996</v>
      </c>
      <c r="G15" s="26">
        <f t="shared" si="4"/>
        <v>0</v>
      </c>
      <c r="H15" s="14" t="s">
        <v>25</v>
      </c>
      <c r="I15" s="29"/>
      <c r="J15" s="27">
        <f t="shared" si="1"/>
        <v>0</v>
      </c>
      <c r="L15" s="28">
        <f t="shared" si="2"/>
        <v>0</v>
      </c>
      <c r="M15" s="14" t="s">
        <v>25</v>
      </c>
      <c r="N15" s="29"/>
      <c r="O15" s="27">
        <f t="shared" si="3"/>
        <v>0</v>
      </c>
      <c r="Q15" s="2"/>
      <c r="R15" s="36"/>
      <c r="S15" s="37"/>
      <c r="T15" s="12"/>
      <c r="V15" s="2"/>
      <c r="W15" s="36"/>
      <c r="X15" s="37"/>
      <c r="Y15" s="12"/>
    </row>
    <row r="16" spans="1:25" x14ac:dyDescent="0.25">
      <c r="A16" s="3" t="s">
        <v>52</v>
      </c>
      <c r="B16" s="1">
        <f>'Cardápio CMEI Integral 2017'!T46+'Cardápio CMEI Integral 2017'!B116+'Cardápio CMEI Integral 2017'!U148+'Cardápio CMEI Integral 2017'!B199+'Cardápio CMEI Integral 2017'!B217</f>
        <v>65</v>
      </c>
      <c r="C16" s="57" t="s">
        <v>88</v>
      </c>
      <c r="D16" s="57">
        <v>1.1599999999999999</v>
      </c>
      <c r="E16" s="509">
        <f t="shared" si="0"/>
        <v>75.399999999999991</v>
      </c>
      <c r="G16" s="26">
        <f t="shared" si="4"/>
        <v>0</v>
      </c>
      <c r="H16" s="14" t="s">
        <v>25</v>
      </c>
      <c r="I16" s="29"/>
      <c r="J16" s="27">
        <f t="shared" si="1"/>
        <v>0</v>
      </c>
      <c r="L16" s="28">
        <f t="shared" si="2"/>
        <v>0</v>
      </c>
      <c r="M16" s="14" t="s">
        <v>25</v>
      </c>
      <c r="N16" s="29"/>
      <c r="O16" s="27">
        <f t="shared" si="3"/>
        <v>0</v>
      </c>
      <c r="Q16" s="2"/>
      <c r="R16" s="36"/>
      <c r="S16" s="37"/>
      <c r="T16" s="12"/>
      <c r="V16" s="2"/>
      <c r="W16" s="36"/>
      <c r="X16" s="37"/>
      <c r="Y16" s="12"/>
    </row>
    <row r="17" spans="1:25" x14ac:dyDescent="0.25">
      <c r="A17" s="6" t="s">
        <v>48</v>
      </c>
      <c r="B17" s="1">
        <f>'Cardápio CMEI Integral 2017'!B182</f>
        <v>150</v>
      </c>
      <c r="C17" s="57" t="s">
        <v>90</v>
      </c>
      <c r="D17" s="57">
        <v>1</v>
      </c>
      <c r="E17" s="509">
        <f t="shared" si="0"/>
        <v>150</v>
      </c>
      <c r="G17" s="26">
        <f t="shared" si="4"/>
        <v>0</v>
      </c>
      <c r="H17" s="14" t="s">
        <v>37</v>
      </c>
      <c r="I17" s="29"/>
      <c r="J17" s="27">
        <f>G17*I17</f>
        <v>0</v>
      </c>
      <c r="L17" s="28">
        <f>G17*4</f>
        <v>0</v>
      </c>
      <c r="M17" s="14" t="s">
        <v>37</v>
      </c>
      <c r="N17" s="29"/>
      <c r="O17" s="27">
        <f>L17*N17</f>
        <v>0</v>
      </c>
      <c r="Q17" s="13"/>
      <c r="R17" s="36"/>
      <c r="S17" s="37"/>
      <c r="T17" s="12"/>
      <c r="V17" s="13"/>
      <c r="W17" s="36"/>
      <c r="X17" s="37"/>
      <c r="Y17" s="12"/>
    </row>
    <row r="18" spans="1:25" ht="15" customHeight="1" x14ac:dyDescent="0.25">
      <c r="A18" s="3" t="s">
        <v>202</v>
      </c>
      <c r="B18" s="1">
        <f>'Cardápio CMEI Integral 2017'!M236</f>
        <v>21</v>
      </c>
      <c r="C18" s="57" t="s">
        <v>88</v>
      </c>
      <c r="D18" s="57">
        <v>1</v>
      </c>
      <c r="E18" s="509">
        <f t="shared" si="0"/>
        <v>21</v>
      </c>
      <c r="G18" s="26">
        <f>E18*$F$3/400</f>
        <v>0</v>
      </c>
      <c r="H18" s="14" t="s">
        <v>203</v>
      </c>
      <c r="I18" s="29"/>
      <c r="J18" s="27">
        <f t="shared" ref="J18:J19" si="5">G18*I18</f>
        <v>0</v>
      </c>
      <c r="L18" s="28">
        <f t="shared" ref="L18:L19" si="6">G18*4</f>
        <v>0</v>
      </c>
      <c r="M18" s="14" t="s">
        <v>204</v>
      </c>
      <c r="N18" s="29"/>
      <c r="O18" s="27">
        <f t="shared" ref="O18:O19" si="7">L18*N18</f>
        <v>0</v>
      </c>
    </row>
    <row r="19" spans="1:25" ht="15" customHeight="1" x14ac:dyDescent="0.25">
      <c r="A19" s="3" t="s">
        <v>198</v>
      </c>
      <c r="B19" s="1">
        <f>'Cardápio CMEI Integral 2017'!M182</f>
        <v>15</v>
      </c>
      <c r="C19" s="57" t="s">
        <v>88</v>
      </c>
      <c r="D19" s="57">
        <v>1</v>
      </c>
      <c r="E19" s="509">
        <f t="shared" si="0"/>
        <v>15</v>
      </c>
      <c r="G19" s="26">
        <f>E19*$F$3/400</f>
        <v>0</v>
      </c>
      <c r="H19" s="14" t="s">
        <v>203</v>
      </c>
      <c r="I19" s="29"/>
      <c r="J19" s="27">
        <f t="shared" si="5"/>
        <v>0</v>
      </c>
      <c r="L19" s="28">
        <f t="shared" si="6"/>
        <v>0</v>
      </c>
      <c r="M19" s="14" t="s">
        <v>204</v>
      </c>
      <c r="N19" s="29"/>
      <c r="O19" s="27">
        <f t="shared" si="7"/>
        <v>0</v>
      </c>
    </row>
    <row r="20" spans="1:25" x14ac:dyDescent="0.25">
      <c r="A20" s="3" t="s">
        <v>143</v>
      </c>
      <c r="B20" s="1">
        <f>'Cardápio CMEI Integral 2017'!B246</f>
        <v>25</v>
      </c>
      <c r="C20" s="57" t="s">
        <v>88</v>
      </c>
      <c r="D20" s="57">
        <v>1.1399999999999999</v>
      </c>
      <c r="E20" s="509">
        <f t="shared" si="0"/>
        <v>28.499999999999996</v>
      </c>
      <c r="G20" s="26">
        <f t="shared" ref="G20:G24" si="8">E20*$F$3/1000</f>
        <v>0</v>
      </c>
      <c r="H20" s="14" t="s">
        <v>25</v>
      </c>
      <c r="I20" s="29"/>
      <c r="J20" s="27">
        <f t="shared" si="1"/>
        <v>0</v>
      </c>
      <c r="L20" s="28">
        <f t="shared" si="2"/>
        <v>0</v>
      </c>
      <c r="M20" s="14" t="s">
        <v>25</v>
      </c>
      <c r="N20" s="29"/>
      <c r="O20" s="27">
        <f t="shared" si="3"/>
        <v>0</v>
      </c>
      <c r="Q20" s="2"/>
      <c r="R20" s="36"/>
      <c r="S20" s="37"/>
      <c r="T20" s="12"/>
      <c r="V20" s="2"/>
      <c r="W20" s="36"/>
      <c r="X20" s="37"/>
      <c r="Y20" s="12"/>
    </row>
    <row r="21" spans="1:25" x14ac:dyDescent="0.25">
      <c r="A21" s="3" t="s">
        <v>106</v>
      </c>
      <c r="B21" s="1">
        <f>'Cardápio CMEI Integral 2017'!B64+'Cardápio CMEI Integral 2017'!B165</f>
        <v>50</v>
      </c>
      <c r="C21" s="57" t="s">
        <v>88</v>
      </c>
      <c r="D21" s="57">
        <v>1</v>
      </c>
      <c r="E21" s="509">
        <f t="shared" si="0"/>
        <v>50</v>
      </c>
      <c r="G21" s="26">
        <f t="shared" si="8"/>
        <v>0</v>
      </c>
      <c r="H21" s="14" t="s">
        <v>25</v>
      </c>
      <c r="I21" s="29"/>
      <c r="J21" s="27">
        <f t="shared" si="1"/>
        <v>0</v>
      </c>
      <c r="L21" s="28">
        <f t="shared" si="2"/>
        <v>0</v>
      </c>
      <c r="M21" s="14" t="s">
        <v>25</v>
      </c>
      <c r="N21" s="29"/>
      <c r="O21" s="27">
        <f t="shared" si="3"/>
        <v>0</v>
      </c>
      <c r="Q21" s="2"/>
      <c r="R21" s="36"/>
      <c r="S21" s="37"/>
      <c r="T21" s="12"/>
      <c r="V21" s="2"/>
      <c r="W21" s="36"/>
      <c r="X21" s="37"/>
      <c r="Y21" s="12"/>
    </row>
    <row r="22" spans="1:25" x14ac:dyDescent="0.25">
      <c r="A22" s="3" t="s">
        <v>2</v>
      </c>
      <c r="B22" s="463">
        <f>'Cardápio CMEI Integral 2017'!B46+'Cardápio CMEI Integral 2017'!K48+'Cardápio CMEI Integral 2017'!T48+'Cardápio CMEI Integral 2017'!B120+'Cardápio CMEI Integral 2017'!B96+'Cardápio CMEI Integral 2017'!K96+'Cardápio CMEI Integral 2017'!B69+'Cardápio CMEI Integral 2017'!B147+'Cardápio CMEI Integral 2017'!K149+'Cardápio CMEI Integral 2017'!U151+'Cardápio CMEI Integral 2017'!B169+'Cardápio CMEI Integral 2017'!B191+'Cardápio CMEI Integral 2017'!K193+'Cardápio CMEI Integral 2017'!B222+'Cardápio CMEI Integral 2017'!B250+'Cardápio CMEI Integral 2017'!K247+'Cardápio CMEI Integral 2017'!K257</f>
        <v>72</v>
      </c>
      <c r="C22" s="57" t="s">
        <v>88</v>
      </c>
      <c r="D22" s="57">
        <v>1.08</v>
      </c>
      <c r="E22" s="509">
        <f t="shared" si="0"/>
        <v>77.760000000000005</v>
      </c>
      <c r="G22" s="26">
        <f t="shared" si="8"/>
        <v>0</v>
      </c>
      <c r="H22" s="14" t="s">
        <v>25</v>
      </c>
      <c r="I22" s="29"/>
      <c r="J22" s="27">
        <f t="shared" si="1"/>
        <v>0</v>
      </c>
      <c r="L22" s="28">
        <f t="shared" si="2"/>
        <v>0</v>
      </c>
      <c r="M22" s="14" t="s">
        <v>25</v>
      </c>
      <c r="N22" s="29"/>
      <c r="O22" s="27">
        <f t="shared" si="3"/>
        <v>0</v>
      </c>
      <c r="Q22" s="2"/>
      <c r="R22" s="36"/>
      <c r="S22" s="37"/>
      <c r="T22" s="12"/>
      <c r="V22" s="2"/>
      <c r="W22" s="36"/>
      <c r="X22" s="37"/>
      <c r="Y22" s="12"/>
    </row>
    <row r="23" spans="1:25" x14ac:dyDescent="0.25">
      <c r="A23" s="3" t="s">
        <v>7</v>
      </c>
      <c r="B23" s="1">
        <f>'Cardápio CMEI Integral 2017'!B117+'Cardápio CMEI Integral 2017'!B218+'Cardápio CMEI Integral 2017'!K249</f>
        <v>35</v>
      </c>
      <c r="C23" s="57" t="s">
        <v>88</v>
      </c>
      <c r="D23" s="57">
        <v>1.18</v>
      </c>
      <c r="E23" s="509">
        <f t="shared" si="0"/>
        <v>41.3</v>
      </c>
      <c r="G23" s="26">
        <f t="shared" si="8"/>
        <v>0</v>
      </c>
      <c r="H23" s="14" t="s">
        <v>25</v>
      </c>
      <c r="I23" s="29"/>
      <c r="J23" s="27">
        <f t="shared" si="1"/>
        <v>0</v>
      </c>
      <c r="L23" s="28">
        <f t="shared" si="2"/>
        <v>0</v>
      </c>
      <c r="M23" s="14" t="s">
        <v>25</v>
      </c>
      <c r="N23" s="29"/>
      <c r="O23" s="27">
        <f t="shared" si="3"/>
        <v>0</v>
      </c>
      <c r="Q23" s="2"/>
      <c r="R23" s="36"/>
      <c r="S23" s="37"/>
      <c r="T23" s="12"/>
      <c r="V23" s="2"/>
      <c r="W23" s="36"/>
      <c r="X23" s="37"/>
      <c r="Y23" s="12"/>
    </row>
    <row r="24" spans="1:25" x14ac:dyDescent="0.25">
      <c r="A24" s="7" t="s">
        <v>8</v>
      </c>
      <c r="B24" s="1">
        <f>'Cardápio CMEI Integral 2017'!B118+'Cardápio CMEI Integral 2017'!B219</f>
        <v>30</v>
      </c>
      <c r="C24" s="57" t="s">
        <v>88</v>
      </c>
      <c r="D24" s="57">
        <v>1.61</v>
      </c>
      <c r="E24" s="509">
        <f t="shared" si="0"/>
        <v>48.300000000000004</v>
      </c>
      <c r="G24" s="26">
        <f t="shared" si="8"/>
        <v>0</v>
      </c>
      <c r="H24" s="14" t="s">
        <v>25</v>
      </c>
      <c r="I24" s="29"/>
      <c r="J24" s="27">
        <f t="shared" si="1"/>
        <v>0</v>
      </c>
      <c r="L24" s="28">
        <f t="shared" si="2"/>
        <v>0</v>
      </c>
      <c r="M24" s="14" t="s">
        <v>25</v>
      </c>
      <c r="N24" s="29"/>
      <c r="O24" s="27">
        <f t="shared" si="3"/>
        <v>0</v>
      </c>
      <c r="Q24" s="10"/>
      <c r="R24" s="36"/>
      <c r="S24" s="37"/>
      <c r="T24" s="12"/>
      <c r="V24" s="10"/>
      <c r="W24" s="36"/>
      <c r="X24" s="37"/>
      <c r="Y24" s="12"/>
    </row>
    <row r="25" spans="1:25" x14ac:dyDescent="0.25">
      <c r="A25" s="3" t="s">
        <v>12</v>
      </c>
      <c r="B25" s="1">
        <f>'Cardápio CMEI Integral 2017'!T53+'Cardápio CMEI Integral 2017'!B121+'Cardápio CMEI Integral 2017'!B66+'Cardápio CMEI Integral 2017'!U153+'Cardápio CMEI Integral 2017'!B167+'Cardápio CMEI Integral 2017'!B193+'Cardápio CMEI Integral 2017'!B224+'Cardápio CMEI Integral 2017'!B253</f>
        <v>3.1999999999999997</v>
      </c>
      <c r="C25" s="57" t="s">
        <v>88</v>
      </c>
      <c r="D25" s="57">
        <v>1.35</v>
      </c>
      <c r="E25" s="509">
        <f t="shared" si="0"/>
        <v>4.32</v>
      </c>
      <c r="G25" s="26">
        <f>E25*$F$3/30</f>
        <v>0</v>
      </c>
      <c r="H25" s="14" t="s">
        <v>39</v>
      </c>
      <c r="I25" s="29"/>
      <c r="J25" s="27">
        <f t="shared" si="1"/>
        <v>0</v>
      </c>
      <c r="L25" s="28">
        <f t="shared" si="2"/>
        <v>0</v>
      </c>
      <c r="M25" s="14" t="s">
        <v>39</v>
      </c>
      <c r="N25" s="29"/>
      <c r="O25" s="27">
        <f t="shared" si="3"/>
        <v>0</v>
      </c>
      <c r="Q25" s="2"/>
      <c r="R25" s="36"/>
      <c r="S25" s="37"/>
      <c r="T25" s="12"/>
      <c r="V25" s="2"/>
      <c r="W25" s="36"/>
      <c r="X25" s="37"/>
      <c r="Y25" s="12"/>
    </row>
    <row r="26" spans="1:25" x14ac:dyDescent="0.25">
      <c r="A26" s="7" t="s">
        <v>6</v>
      </c>
      <c r="B26" s="1">
        <f>'Cardápio CMEI Integral 2017'!B48+'Cardápio CMEI Integral 2017'!B67+'Cardápio CMEI Integral 2017'!B123+'Cardápio CMEI Integral 2017'!B149+'Cardápio CMEI Integral 2017'!B168+'Cardápio CMEI Integral 2017'!B197+'Cardápio CMEI Integral 2017'!B225</f>
        <v>4.9000000000000004</v>
      </c>
      <c r="C26" s="57" t="s">
        <v>88</v>
      </c>
      <c r="D26" s="57">
        <v>1</v>
      </c>
      <c r="E26" s="509">
        <f t="shared" si="0"/>
        <v>4.9000000000000004</v>
      </c>
      <c r="G26" s="26">
        <f>E26*$F$3/100</f>
        <v>0</v>
      </c>
      <c r="H26" s="5" t="s">
        <v>36</v>
      </c>
      <c r="I26" s="29"/>
      <c r="J26" s="27">
        <f t="shared" si="1"/>
        <v>0</v>
      </c>
      <c r="L26" s="28">
        <f t="shared" si="2"/>
        <v>0</v>
      </c>
      <c r="M26" s="5" t="s">
        <v>36</v>
      </c>
      <c r="N26" s="29"/>
      <c r="O26" s="27">
        <f t="shared" si="3"/>
        <v>0</v>
      </c>
      <c r="Q26" s="10"/>
      <c r="R26" s="36"/>
      <c r="S26" s="37"/>
      <c r="T26" s="11"/>
      <c r="V26" s="10"/>
      <c r="W26" s="36"/>
      <c r="X26" s="37"/>
      <c r="Y26" s="11"/>
    </row>
    <row r="27" spans="1:25" x14ac:dyDescent="0.25">
      <c r="A27" s="7" t="s">
        <v>73</v>
      </c>
      <c r="B27" s="1">
        <f>'Cardápio CMEI Integral 2017'!B247</f>
        <v>2</v>
      </c>
      <c r="C27" s="57" t="s">
        <v>88</v>
      </c>
      <c r="D27" s="57">
        <v>1.48</v>
      </c>
      <c r="E27" s="509">
        <f t="shared" si="0"/>
        <v>2.96</v>
      </c>
      <c r="G27" s="26">
        <f>E27*$F$3/1000</f>
        <v>0</v>
      </c>
      <c r="H27" s="14" t="s">
        <v>25</v>
      </c>
      <c r="I27" s="29"/>
      <c r="J27" s="27">
        <f t="shared" si="1"/>
        <v>0</v>
      </c>
      <c r="L27" s="28">
        <f t="shared" si="2"/>
        <v>0</v>
      </c>
      <c r="M27" s="14" t="s">
        <v>25</v>
      </c>
      <c r="N27" s="29"/>
      <c r="O27" s="27">
        <f t="shared" si="3"/>
        <v>0</v>
      </c>
      <c r="Q27" s="10"/>
      <c r="R27" s="36"/>
      <c r="S27" s="37"/>
      <c r="T27" s="12"/>
      <c r="V27" s="10"/>
      <c r="W27" s="36"/>
      <c r="X27" s="37"/>
      <c r="Y27" s="12"/>
    </row>
    <row r="28" spans="1:25" x14ac:dyDescent="0.25">
      <c r="A28" s="6" t="s">
        <v>64</v>
      </c>
      <c r="B28" s="1">
        <f>'Cardápio CMEI Integral 2017'!K245</f>
        <v>10</v>
      </c>
      <c r="C28" s="57" t="s">
        <v>88</v>
      </c>
      <c r="D28" s="57">
        <v>1</v>
      </c>
      <c r="E28" s="509">
        <f t="shared" si="0"/>
        <v>10</v>
      </c>
      <c r="G28" s="26">
        <f>E28*$F$3/1000</f>
        <v>0</v>
      </c>
      <c r="H28" s="14" t="s">
        <v>25</v>
      </c>
      <c r="I28" s="29"/>
      <c r="J28" s="27">
        <f t="shared" si="1"/>
        <v>0</v>
      </c>
      <c r="L28" s="28">
        <f t="shared" si="2"/>
        <v>0</v>
      </c>
      <c r="M28" s="14" t="s">
        <v>25</v>
      </c>
      <c r="N28" s="29"/>
      <c r="O28" s="27">
        <f t="shared" si="3"/>
        <v>0</v>
      </c>
      <c r="Q28" s="13"/>
      <c r="R28" s="36"/>
      <c r="S28" s="37"/>
      <c r="T28" s="12"/>
      <c r="V28" s="13"/>
      <c r="W28" s="36"/>
      <c r="X28" s="37"/>
      <c r="Y28" s="12"/>
    </row>
    <row r="29" spans="1:25" x14ac:dyDescent="0.25">
      <c r="A29" s="3" t="s">
        <v>41</v>
      </c>
      <c r="B29" s="1">
        <f>'Cardápio CMEI Integral 2017'!T45+'Cardápio CMEI Integral 2017'!B214</f>
        <v>30</v>
      </c>
      <c r="C29" s="57" t="s">
        <v>88</v>
      </c>
      <c r="D29" s="57">
        <v>1</v>
      </c>
      <c r="E29" s="509">
        <f t="shared" si="0"/>
        <v>30</v>
      </c>
      <c r="G29" s="26">
        <f>E29*$F$3/1000</f>
        <v>0</v>
      </c>
      <c r="H29" s="14" t="s">
        <v>25</v>
      </c>
      <c r="I29" s="29"/>
      <c r="J29" s="27">
        <f t="shared" si="1"/>
        <v>0</v>
      </c>
      <c r="L29" s="28">
        <f t="shared" si="2"/>
        <v>0</v>
      </c>
      <c r="M29" s="14" t="s">
        <v>25</v>
      </c>
      <c r="N29" s="29"/>
      <c r="O29" s="27">
        <f t="shared" si="3"/>
        <v>0</v>
      </c>
      <c r="Q29" s="2"/>
      <c r="R29" s="36"/>
      <c r="S29" s="37"/>
      <c r="T29" s="12"/>
      <c r="V29" s="2"/>
      <c r="W29" s="36"/>
      <c r="X29" s="37"/>
      <c r="Y29" s="12"/>
    </row>
    <row r="30" spans="1:25" x14ac:dyDescent="0.25">
      <c r="A30" s="3" t="s">
        <v>50</v>
      </c>
      <c r="B30" s="1">
        <f>'Cardápio CMEI Integral 2017'!U146+'Cardápio CMEI Integral 2017'!B245</f>
        <v>30</v>
      </c>
      <c r="C30" s="57" t="s">
        <v>88</v>
      </c>
      <c r="D30" s="57">
        <v>1</v>
      </c>
      <c r="E30" s="509">
        <f t="shared" si="0"/>
        <v>30</v>
      </c>
      <c r="G30" s="26">
        <f>E30*$F$3/1000</f>
        <v>0</v>
      </c>
      <c r="H30" s="14" t="s">
        <v>25</v>
      </c>
      <c r="I30" s="29"/>
      <c r="J30" s="27">
        <f t="shared" si="1"/>
        <v>0</v>
      </c>
      <c r="L30" s="28">
        <f t="shared" si="2"/>
        <v>0</v>
      </c>
      <c r="M30" s="14" t="s">
        <v>25</v>
      </c>
      <c r="N30" s="29"/>
      <c r="O30" s="27">
        <f t="shared" si="3"/>
        <v>0</v>
      </c>
      <c r="Q30" s="2"/>
      <c r="R30" s="36"/>
      <c r="S30" s="37"/>
      <c r="T30" s="12"/>
      <c r="V30" s="2"/>
      <c r="W30" s="36"/>
      <c r="X30" s="37"/>
      <c r="Y30" s="12"/>
    </row>
    <row r="31" spans="1:25" x14ac:dyDescent="0.25">
      <c r="A31" s="6" t="s">
        <v>55</v>
      </c>
      <c r="B31" s="1">
        <f>'Cardápio CMEI Integral 2017'!B35+'Cardápio CMEI Integral 2017'!B265</f>
        <v>70</v>
      </c>
      <c r="C31" s="57" t="s">
        <v>88</v>
      </c>
      <c r="D31" s="57">
        <v>1</v>
      </c>
      <c r="E31" s="509">
        <f t="shared" si="0"/>
        <v>70</v>
      </c>
      <c r="G31" s="26">
        <f>E31*$F$3/500</f>
        <v>0</v>
      </c>
      <c r="H31" s="14" t="s">
        <v>56</v>
      </c>
      <c r="I31" s="29"/>
      <c r="J31" s="27">
        <f t="shared" si="1"/>
        <v>0</v>
      </c>
      <c r="L31" s="28">
        <f>G31*4</f>
        <v>0</v>
      </c>
      <c r="M31" s="14" t="s">
        <v>56</v>
      </c>
      <c r="N31" s="29"/>
      <c r="O31" s="27">
        <f t="shared" si="3"/>
        <v>0</v>
      </c>
      <c r="Q31" s="13"/>
      <c r="R31" s="36"/>
      <c r="S31" s="37"/>
      <c r="T31" s="12"/>
      <c r="V31" s="13"/>
      <c r="W31" s="36"/>
      <c r="X31" s="37"/>
      <c r="Y31" s="12"/>
    </row>
    <row r="32" spans="1:25" x14ac:dyDescent="0.25">
      <c r="A32" s="3" t="s">
        <v>11</v>
      </c>
      <c r="B32" s="463">
        <f>'Cardápio CMEI Integral 2017'!T47+'Cardápio CMEI Integral 2017'!U147+'Cardápio CMEI Integral 2017'!B200+'Cardápio CMEI Integral 2017'!B248</f>
        <v>63</v>
      </c>
      <c r="C32" s="57" t="s">
        <v>88</v>
      </c>
      <c r="D32" s="57">
        <v>1.35</v>
      </c>
      <c r="E32" s="509">
        <f t="shared" si="0"/>
        <v>85.050000000000011</v>
      </c>
      <c r="G32" s="26">
        <f>E32*$F$3/1000</f>
        <v>0</v>
      </c>
      <c r="H32" s="14" t="s">
        <v>25</v>
      </c>
      <c r="I32" s="29"/>
      <c r="J32" s="27">
        <f t="shared" si="1"/>
        <v>0</v>
      </c>
      <c r="L32" s="28">
        <f t="shared" si="2"/>
        <v>0</v>
      </c>
      <c r="M32" s="14" t="s">
        <v>25</v>
      </c>
      <c r="N32" s="29"/>
      <c r="O32" s="27">
        <f t="shared" si="3"/>
        <v>0</v>
      </c>
      <c r="Q32" s="10"/>
      <c r="R32" s="36"/>
      <c r="S32" s="37"/>
      <c r="T32" s="12"/>
      <c r="V32" s="10"/>
      <c r="W32" s="36"/>
      <c r="X32" s="37"/>
      <c r="Y32" s="12"/>
    </row>
    <row r="33" spans="1:25" x14ac:dyDescent="0.25">
      <c r="A33" s="3" t="s">
        <v>69</v>
      </c>
      <c r="B33" s="463">
        <f>'Cardápio CMEI Integral 2017'!B137+'Cardápio CMEI Integral 2017'!B258</f>
        <v>110</v>
      </c>
      <c r="C33" s="57" t="s">
        <v>88</v>
      </c>
      <c r="D33" s="57">
        <v>1.56</v>
      </c>
      <c r="E33" s="509">
        <f t="shared" si="0"/>
        <v>171.6</v>
      </c>
      <c r="G33" s="26">
        <f>E33*$F$3/1000</f>
        <v>0</v>
      </c>
      <c r="H33" s="14" t="s">
        <v>25</v>
      </c>
      <c r="I33" s="29"/>
      <c r="J33" s="27">
        <f t="shared" si="1"/>
        <v>0</v>
      </c>
      <c r="L33" s="28">
        <f t="shared" si="2"/>
        <v>0</v>
      </c>
      <c r="M33" s="14" t="s">
        <v>25</v>
      </c>
      <c r="N33" s="29"/>
      <c r="O33" s="27">
        <f t="shared" si="3"/>
        <v>0</v>
      </c>
      <c r="Q33" s="2"/>
      <c r="R33" s="36"/>
      <c r="S33" s="37"/>
      <c r="T33" s="12"/>
      <c r="V33" s="2"/>
      <c r="W33" s="36"/>
      <c r="X33" s="37"/>
      <c r="Y33" s="12"/>
    </row>
    <row r="34" spans="1:25" x14ac:dyDescent="0.25">
      <c r="A34" s="6" t="s">
        <v>26</v>
      </c>
      <c r="B34" s="1">
        <f>'Cardápio CMEI Integral 2017'!B53+'Cardápio CMEI Integral 2017'!B86+'Cardápio CMEI Integral 2017'!B237</f>
        <v>29</v>
      </c>
      <c r="C34" s="57" t="s">
        <v>88</v>
      </c>
      <c r="D34" s="57">
        <v>1</v>
      </c>
      <c r="E34" s="509">
        <f t="shared" si="0"/>
        <v>29</v>
      </c>
      <c r="G34" s="26">
        <f>E34*$F$3/400</f>
        <v>0</v>
      </c>
      <c r="H34" s="14" t="s">
        <v>161</v>
      </c>
      <c r="I34" s="29"/>
      <c r="J34" s="27">
        <f t="shared" si="1"/>
        <v>0</v>
      </c>
      <c r="L34" s="28">
        <f t="shared" si="2"/>
        <v>0</v>
      </c>
      <c r="M34" s="14" t="s">
        <v>76</v>
      </c>
      <c r="N34" s="29"/>
      <c r="O34" s="27">
        <f t="shared" si="3"/>
        <v>0</v>
      </c>
      <c r="Q34" s="13"/>
      <c r="R34" s="36"/>
      <c r="S34" s="37"/>
      <c r="T34" s="12"/>
      <c r="V34" s="13"/>
      <c r="W34" s="36"/>
      <c r="X34" s="37"/>
      <c r="Y34" s="12"/>
    </row>
    <row r="35" spans="1:25" x14ac:dyDescent="0.25">
      <c r="A35" s="6" t="s">
        <v>30</v>
      </c>
      <c r="B35" s="1">
        <f>'Cardápio CMEI Integral 2017'!B63+'Cardápio CMEI Integral 2017'!B215+'Cardápio CMEI Integral 2017'!B115</f>
        <v>75</v>
      </c>
      <c r="C35" s="57" t="s">
        <v>88</v>
      </c>
      <c r="D35" s="57">
        <v>1</v>
      </c>
      <c r="E35" s="509">
        <f t="shared" si="0"/>
        <v>75</v>
      </c>
      <c r="G35" s="26">
        <f>E35*$F$3/500</f>
        <v>0</v>
      </c>
      <c r="H35" s="14" t="s">
        <v>56</v>
      </c>
      <c r="I35" s="29"/>
      <c r="J35" s="27">
        <f t="shared" si="1"/>
        <v>0</v>
      </c>
      <c r="L35" s="28">
        <f t="shared" si="2"/>
        <v>0</v>
      </c>
      <c r="M35" s="14" t="s">
        <v>56</v>
      </c>
      <c r="N35" s="29"/>
      <c r="O35" s="27">
        <f t="shared" si="3"/>
        <v>0</v>
      </c>
      <c r="Q35" s="13"/>
      <c r="R35" s="36"/>
      <c r="S35" s="37"/>
      <c r="T35" s="12"/>
      <c r="V35" s="13"/>
      <c r="W35" s="36"/>
      <c r="X35" s="37"/>
      <c r="Y35" s="12"/>
    </row>
    <row r="36" spans="1:25" x14ac:dyDescent="0.25">
      <c r="A36" s="6" t="s">
        <v>119</v>
      </c>
      <c r="B36" s="463">
        <f>'Cardápio CMEI Integral 2017'!B206</f>
        <v>25</v>
      </c>
      <c r="C36" s="57" t="s">
        <v>88</v>
      </c>
      <c r="D36" s="57">
        <v>1.31</v>
      </c>
      <c r="E36" s="509">
        <f t="shared" si="0"/>
        <v>32.75</v>
      </c>
      <c r="G36" s="26">
        <f>E36*$F$3/1000</f>
        <v>0</v>
      </c>
      <c r="H36" s="14" t="s">
        <v>25</v>
      </c>
      <c r="I36" s="29"/>
      <c r="J36" s="27">
        <f t="shared" si="1"/>
        <v>0</v>
      </c>
      <c r="L36" s="28">
        <f t="shared" si="2"/>
        <v>0</v>
      </c>
      <c r="M36" s="14" t="s">
        <v>25</v>
      </c>
      <c r="N36" s="29"/>
      <c r="O36" s="27">
        <f t="shared" si="3"/>
        <v>0</v>
      </c>
      <c r="Q36" s="13"/>
      <c r="R36" s="36"/>
      <c r="S36" s="37"/>
      <c r="T36" s="12"/>
      <c r="V36" s="13"/>
      <c r="W36" s="36"/>
      <c r="X36" s="37"/>
      <c r="Y36" s="12"/>
    </row>
    <row r="37" spans="1:25" x14ac:dyDescent="0.25">
      <c r="A37" s="3" t="s">
        <v>31</v>
      </c>
      <c r="B37" s="1">
        <f>'Cardápio CMEI Integral 2017'!B138</f>
        <v>60</v>
      </c>
      <c r="C37" s="57" t="s">
        <v>88</v>
      </c>
      <c r="D37" s="57">
        <v>1.6</v>
      </c>
      <c r="E37" s="509">
        <f t="shared" si="0"/>
        <v>96</v>
      </c>
      <c r="G37" s="26">
        <f>E37*$F$3/1000</f>
        <v>0</v>
      </c>
      <c r="H37" s="14" t="s">
        <v>25</v>
      </c>
      <c r="I37" s="29"/>
      <c r="J37" s="27">
        <f t="shared" si="1"/>
        <v>0</v>
      </c>
      <c r="L37" s="28">
        <f t="shared" si="2"/>
        <v>0</v>
      </c>
      <c r="M37" s="14" t="s">
        <v>25</v>
      </c>
      <c r="N37" s="29"/>
      <c r="O37" s="27">
        <f t="shared" si="3"/>
        <v>0</v>
      </c>
      <c r="Q37" s="2"/>
      <c r="R37" s="36"/>
      <c r="S37" s="37"/>
      <c r="T37" s="12"/>
      <c r="V37" s="2"/>
      <c r="W37" s="36"/>
      <c r="X37" s="37"/>
      <c r="Y37" s="12"/>
    </row>
    <row r="38" spans="1:25" x14ac:dyDescent="0.25">
      <c r="A38" s="6" t="s">
        <v>54</v>
      </c>
      <c r="B38" s="1">
        <f>'Cardápio CMEI Integral 2017'!B38+'Cardápio CMEI Integral 2017'!B51+'Cardápio CMEI Integral 2017'!B106+'Cardápio CMEI Integral 2017'!K246+'Cardápio CMEI Integral 2017'!B267</f>
        <v>16</v>
      </c>
      <c r="C38" s="57" t="s">
        <v>88</v>
      </c>
      <c r="D38" s="57">
        <v>1</v>
      </c>
      <c r="E38" s="509">
        <f t="shared" si="0"/>
        <v>16</v>
      </c>
      <c r="G38" s="26">
        <f>E38*$F$3/500</f>
        <v>0</v>
      </c>
      <c r="H38" s="5" t="s">
        <v>56</v>
      </c>
      <c r="I38" s="29"/>
      <c r="J38" s="27">
        <f t="shared" si="1"/>
        <v>0</v>
      </c>
      <c r="L38" s="28">
        <f t="shared" si="2"/>
        <v>0</v>
      </c>
      <c r="M38" s="5" t="s">
        <v>56</v>
      </c>
      <c r="N38" s="29"/>
      <c r="O38" s="27">
        <f t="shared" si="3"/>
        <v>0</v>
      </c>
      <c r="Q38" s="13"/>
      <c r="R38" s="36"/>
      <c r="S38" s="37"/>
      <c r="T38" s="11"/>
      <c r="V38" s="13"/>
      <c r="W38" s="36"/>
      <c r="X38" s="37"/>
      <c r="Y38" s="11"/>
    </row>
    <row r="39" spans="1:25" x14ac:dyDescent="0.25">
      <c r="A39" s="6" t="s">
        <v>147</v>
      </c>
      <c r="B39" s="1">
        <f>'Cardápio CMEI Integral 2017'!K199</f>
        <v>50</v>
      </c>
      <c r="C39" s="57" t="s">
        <v>88</v>
      </c>
      <c r="D39" s="57">
        <v>1.95</v>
      </c>
      <c r="E39" s="509">
        <f t="shared" si="0"/>
        <v>97.5</v>
      </c>
      <c r="G39" s="26">
        <f>E39*$F$3/1000</f>
        <v>0</v>
      </c>
      <c r="H39" s="5" t="s">
        <v>25</v>
      </c>
      <c r="I39" s="29"/>
      <c r="J39" s="27">
        <f t="shared" si="1"/>
        <v>0</v>
      </c>
      <c r="L39" s="28">
        <f t="shared" si="2"/>
        <v>0</v>
      </c>
      <c r="M39" s="5" t="s">
        <v>25</v>
      </c>
      <c r="N39" s="29"/>
      <c r="O39" s="27">
        <f t="shared" si="3"/>
        <v>0</v>
      </c>
      <c r="Q39" s="13"/>
      <c r="R39" s="36"/>
      <c r="S39" s="37"/>
      <c r="T39" s="11"/>
      <c r="V39" s="13"/>
      <c r="W39" s="36"/>
      <c r="X39" s="37"/>
      <c r="Y39" s="11"/>
    </row>
    <row r="40" spans="1:25" x14ac:dyDescent="0.25">
      <c r="A40" s="6" t="s">
        <v>100</v>
      </c>
      <c r="B40" s="1">
        <f>'Cardápio CMEI Integral 2017'!K104+'Cardápio CMEI Integral 2017'!B139</f>
        <v>100</v>
      </c>
      <c r="C40" s="57" t="s">
        <v>88</v>
      </c>
      <c r="D40" s="57">
        <v>1.36</v>
      </c>
      <c r="E40" s="509">
        <f t="shared" si="0"/>
        <v>136</v>
      </c>
      <c r="G40" s="26">
        <f>E40*$F$3/1000</f>
        <v>0</v>
      </c>
      <c r="H40" s="5" t="s">
        <v>25</v>
      </c>
      <c r="I40" s="29"/>
      <c r="J40" s="27">
        <f t="shared" si="1"/>
        <v>0</v>
      </c>
      <c r="L40" s="28">
        <f t="shared" si="2"/>
        <v>0</v>
      </c>
      <c r="M40" s="5" t="s">
        <v>25</v>
      </c>
      <c r="N40" s="29"/>
      <c r="O40" s="27">
        <f t="shared" si="3"/>
        <v>0</v>
      </c>
      <c r="Q40" s="13"/>
      <c r="R40" s="36"/>
      <c r="S40" s="37"/>
      <c r="T40" s="11"/>
      <c r="V40" s="13"/>
      <c r="W40" s="36"/>
      <c r="X40" s="37"/>
      <c r="Y40" s="11"/>
    </row>
    <row r="41" spans="1:25" x14ac:dyDescent="0.25">
      <c r="A41" s="7" t="s">
        <v>66</v>
      </c>
      <c r="B41" s="1">
        <f>'Cardápio CMEI Integral 2017'!B94+'Cardápio CMEI Integral 2017'!B190+'Cardápio CMEI Integral 2017'!B114</f>
        <v>75</v>
      </c>
      <c r="C41" s="57" t="s">
        <v>88</v>
      </c>
      <c r="D41" s="57">
        <v>1.21</v>
      </c>
      <c r="E41" s="509">
        <f t="shared" si="0"/>
        <v>90.75</v>
      </c>
      <c r="G41" s="26">
        <f>E41*$F$3/1000</f>
        <v>0</v>
      </c>
      <c r="H41" s="14" t="s">
        <v>25</v>
      </c>
      <c r="I41" s="29"/>
      <c r="J41" s="27">
        <f>G41*I41</f>
        <v>0</v>
      </c>
      <c r="L41" s="28">
        <f>G41*4</f>
        <v>0</v>
      </c>
      <c r="M41" s="14" t="s">
        <v>25</v>
      </c>
      <c r="N41" s="29"/>
      <c r="O41" s="27">
        <f t="shared" si="3"/>
        <v>0</v>
      </c>
      <c r="Q41" s="10"/>
      <c r="R41" s="36"/>
      <c r="S41" s="37"/>
      <c r="T41" s="12"/>
      <c r="V41" s="10"/>
      <c r="W41" s="36"/>
      <c r="X41" s="37"/>
      <c r="Y41" s="12"/>
    </row>
    <row r="42" spans="1:25" x14ac:dyDescent="0.25">
      <c r="A42" s="7" t="s">
        <v>4</v>
      </c>
      <c r="B42" s="1">
        <f>'Cardápio CMEI Integral 2017'!B52+'Cardápio CMEI Integral 2017'!K49+'Cardápio CMEI Integral 2017'!T50+'Cardápio CMEI Integral 2017'!B70+'Cardápio CMEI Integral 2017'!B124+'Cardápio CMEI Integral 2017'!B98+'Cardápio CMEI Integral 2017'!K97+'Cardápio CMEI Integral 2017'!B152+'Cardápio CMEI Integral 2017'!K150+'Cardápio CMEI Integral 2017'!U152+'Cardápio CMEI Integral 2017'!B170+'Cardápio CMEI Integral 2017'!K194+'Cardápio CMEI Integral 2017'!B195+'Cardápio CMEI Integral 2017'!B226+'Cardápio CMEI Integral 2017'!K258</f>
        <v>27</v>
      </c>
      <c r="C42" s="57" t="s">
        <v>90</v>
      </c>
      <c r="D42" s="57">
        <v>1</v>
      </c>
      <c r="E42" s="509">
        <f t="shared" si="0"/>
        <v>27</v>
      </c>
      <c r="G42" s="26">
        <f>E42*$F$3/900</f>
        <v>0</v>
      </c>
      <c r="H42" s="14" t="s">
        <v>40</v>
      </c>
      <c r="I42" s="29"/>
      <c r="J42" s="27">
        <f t="shared" si="1"/>
        <v>0</v>
      </c>
      <c r="L42" s="28">
        <f>G42*4</f>
        <v>0</v>
      </c>
      <c r="M42" s="14" t="s">
        <v>40</v>
      </c>
      <c r="N42" s="29"/>
      <c r="O42" s="27">
        <f t="shared" si="3"/>
        <v>0</v>
      </c>
      <c r="Q42" s="10"/>
      <c r="R42" s="36"/>
      <c r="S42" s="37"/>
      <c r="T42" s="12"/>
      <c r="V42" s="10"/>
      <c r="W42" s="36"/>
      <c r="X42" s="37"/>
      <c r="Y42" s="12"/>
    </row>
    <row r="43" spans="1:25" x14ac:dyDescent="0.25">
      <c r="A43" s="8" t="s">
        <v>58</v>
      </c>
      <c r="B43" s="1">
        <f>'Cardápio CMEI Integral 2017'!B37+'Cardápio CMEI Integral 2017'!B268</f>
        <v>50</v>
      </c>
      <c r="C43" s="57" t="s">
        <v>88</v>
      </c>
      <c r="D43" s="57">
        <v>1.1299999999999999</v>
      </c>
      <c r="E43" s="509">
        <f t="shared" si="0"/>
        <v>56.499999999999993</v>
      </c>
      <c r="G43" s="26">
        <f>E43*$F$3/1500</f>
        <v>0</v>
      </c>
      <c r="H43" s="14" t="s">
        <v>91</v>
      </c>
      <c r="I43" s="29"/>
      <c r="J43" s="27">
        <f t="shared" si="1"/>
        <v>0</v>
      </c>
      <c r="L43" s="28">
        <f t="shared" si="2"/>
        <v>0</v>
      </c>
      <c r="M43" s="14" t="s">
        <v>91</v>
      </c>
      <c r="N43" s="29"/>
      <c r="O43" s="27">
        <f t="shared" si="3"/>
        <v>0</v>
      </c>
      <c r="Q43" s="38"/>
      <c r="R43" s="36"/>
      <c r="S43" s="37"/>
      <c r="T43" s="12"/>
      <c r="V43" s="38"/>
      <c r="W43" s="36"/>
      <c r="X43" s="37"/>
      <c r="Y43" s="12"/>
    </row>
    <row r="44" spans="1:25" s="467" customFormat="1" x14ac:dyDescent="0.25">
      <c r="A44" s="8" t="s">
        <v>111</v>
      </c>
      <c r="B44" s="466">
        <f>'Cardápio CMEI Integral 2017'!B126</f>
        <v>20</v>
      </c>
      <c r="C44" s="57" t="s">
        <v>88</v>
      </c>
      <c r="D44" s="57">
        <v>1</v>
      </c>
      <c r="E44" s="509">
        <f t="shared" si="0"/>
        <v>20</v>
      </c>
      <c r="G44" s="468">
        <f>E44*$F$3/400</f>
        <v>0</v>
      </c>
      <c r="H44" s="14" t="s">
        <v>34</v>
      </c>
      <c r="I44" s="394"/>
      <c r="J44" s="469">
        <f t="shared" si="1"/>
        <v>0</v>
      </c>
      <c r="L44" s="470">
        <f t="shared" si="2"/>
        <v>0</v>
      </c>
      <c r="M44" s="14" t="s">
        <v>34</v>
      </c>
      <c r="N44" s="394"/>
      <c r="O44" s="469">
        <f t="shared" si="3"/>
        <v>0</v>
      </c>
      <c r="Q44" s="38"/>
      <c r="R44" s="471"/>
      <c r="S44" s="472"/>
      <c r="T44" s="12"/>
      <c r="U44" s="473"/>
      <c r="V44" s="38"/>
      <c r="W44" s="471"/>
      <c r="X44" s="472"/>
      <c r="Y44" s="12"/>
    </row>
    <row r="45" spans="1:25" x14ac:dyDescent="0.25">
      <c r="A45" s="3" t="s">
        <v>46</v>
      </c>
      <c r="B45" s="1">
        <f>'Cardápio CMEI Integral 2017'!B45+'Cardápio CMEI Integral 2017'!B146</f>
        <v>50</v>
      </c>
      <c r="C45" s="57" t="s">
        <v>88</v>
      </c>
      <c r="D45" s="57">
        <v>1.51</v>
      </c>
      <c r="E45" s="509">
        <f t="shared" si="0"/>
        <v>75.5</v>
      </c>
      <c r="G45" s="26">
        <f>E45*$F$3/1000</f>
        <v>0</v>
      </c>
      <c r="H45" s="14" t="s">
        <v>25</v>
      </c>
      <c r="I45" s="29"/>
      <c r="J45" s="27">
        <f t="shared" si="1"/>
        <v>0</v>
      </c>
      <c r="L45" s="28">
        <f t="shared" si="2"/>
        <v>0</v>
      </c>
      <c r="M45" s="14" t="s">
        <v>76</v>
      </c>
      <c r="N45" s="29"/>
      <c r="O45" s="27">
        <f t="shared" si="3"/>
        <v>0</v>
      </c>
      <c r="Q45" s="2"/>
      <c r="R45" s="36"/>
      <c r="S45" s="37"/>
      <c r="T45" s="12"/>
      <c r="V45" s="2"/>
      <c r="W45" s="36"/>
      <c r="X45" s="37"/>
      <c r="Y45" s="12"/>
    </row>
    <row r="46" spans="1:25" x14ac:dyDescent="0.25">
      <c r="A46" s="6" t="s">
        <v>9</v>
      </c>
      <c r="B46" s="1">
        <f>'Cardápio CMEI Integral 2017'!B68+'Cardápio CMEI Integral 2017'!B221+'Cardápio CMEI Integral 2017'!B192</f>
        <v>4</v>
      </c>
      <c r="C46" s="57" t="s">
        <v>88</v>
      </c>
      <c r="D46" s="57">
        <v>1.43</v>
      </c>
      <c r="E46" s="509">
        <f t="shared" si="0"/>
        <v>5.72</v>
      </c>
      <c r="G46" s="26">
        <f>E46*$F$3/1000</f>
        <v>0</v>
      </c>
      <c r="H46" s="14" t="s">
        <v>25</v>
      </c>
      <c r="I46" s="29"/>
      <c r="J46" s="27">
        <f t="shared" si="1"/>
        <v>0</v>
      </c>
      <c r="L46" s="28">
        <f t="shared" si="2"/>
        <v>0</v>
      </c>
      <c r="M46" s="14" t="s">
        <v>25</v>
      </c>
      <c r="N46" s="29"/>
      <c r="O46" s="27">
        <f t="shared" si="3"/>
        <v>0</v>
      </c>
      <c r="Q46" s="13"/>
      <c r="R46" s="36"/>
      <c r="S46" s="37"/>
      <c r="T46" s="12"/>
      <c r="V46" s="13"/>
      <c r="W46" s="36"/>
      <c r="X46" s="37"/>
      <c r="Y46" s="12"/>
    </row>
    <row r="47" spans="1:25" x14ac:dyDescent="0.25">
      <c r="A47" s="7" t="s">
        <v>29</v>
      </c>
      <c r="B47" s="1">
        <f>'Cardápio CMEI Integral 2017'!K265</f>
        <v>40</v>
      </c>
      <c r="C47" s="57" t="s">
        <v>88</v>
      </c>
      <c r="D47" s="57">
        <v>1</v>
      </c>
      <c r="E47" s="509">
        <f t="shared" si="0"/>
        <v>40</v>
      </c>
      <c r="G47" s="26">
        <f>E47*$F$3/1000</f>
        <v>0</v>
      </c>
      <c r="H47" s="14" t="s">
        <v>25</v>
      </c>
      <c r="I47" s="29"/>
      <c r="J47" s="27">
        <f t="shared" si="1"/>
        <v>0</v>
      </c>
      <c r="L47" s="28">
        <f t="shared" si="2"/>
        <v>0</v>
      </c>
      <c r="M47" s="14" t="s">
        <v>25</v>
      </c>
      <c r="N47" s="29"/>
      <c r="O47" s="27">
        <f t="shared" si="3"/>
        <v>0</v>
      </c>
      <c r="Q47" s="10"/>
      <c r="R47" s="36"/>
      <c r="S47" s="37"/>
      <c r="T47" s="12"/>
      <c r="V47" s="10"/>
      <c r="W47" s="36"/>
      <c r="X47" s="37"/>
      <c r="Y47" s="12"/>
    </row>
    <row r="48" spans="1:25" x14ac:dyDescent="0.25">
      <c r="A48" s="7" t="s">
        <v>67</v>
      </c>
      <c r="B48" s="1">
        <f>'Cardápio CMEI Integral 2017'!K63</f>
        <v>40</v>
      </c>
      <c r="C48" s="57" t="s">
        <v>88</v>
      </c>
      <c r="D48" s="57">
        <v>1</v>
      </c>
      <c r="E48" s="509">
        <f t="shared" si="0"/>
        <v>40</v>
      </c>
      <c r="G48" s="26">
        <f>E48*$F$3/1000</f>
        <v>0</v>
      </c>
      <c r="H48" s="14" t="s">
        <v>25</v>
      </c>
      <c r="I48" s="29"/>
      <c r="J48" s="27">
        <f t="shared" si="1"/>
        <v>0</v>
      </c>
      <c r="L48" s="28">
        <f t="shared" si="2"/>
        <v>0</v>
      </c>
      <c r="M48" s="14" t="s">
        <v>25</v>
      </c>
      <c r="N48" s="29"/>
      <c r="O48" s="27">
        <f t="shared" si="3"/>
        <v>0</v>
      </c>
      <c r="Q48" s="10"/>
      <c r="R48" s="36"/>
      <c r="S48" s="37"/>
      <c r="T48" s="12"/>
      <c r="V48" s="10"/>
      <c r="W48" s="36"/>
      <c r="X48" s="37"/>
      <c r="Y48" s="12"/>
    </row>
    <row r="49" spans="1:25" x14ac:dyDescent="0.25">
      <c r="A49" s="6" t="s">
        <v>33</v>
      </c>
      <c r="B49" s="1">
        <f>'Cardápio CMEI Integral 2017'!B73+'Cardápio CMEI Integral 2017'!B172</f>
        <v>17</v>
      </c>
      <c r="C49" s="57" t="s">
        <v>88</v>
      </c>
      <c r="D49" s="57">
        <v>1</v>
      </c>
      <c r="E49" s="509">
        <f t="shared" si="0"/>
        <v>17</v>
      </c>
      <c r="G49" s="26">
        <f>E49*$F$3/520</f>
        <v>0</v>
      </c>
      <c r="H49" s="14" t="s">
        <v>92</v>
      </c>
      <c r="I49" s="29"/>
      <c r="J49" s="27">
        <f t="shared" si="1"/>
        <v>0</v>
      </c>
      <c r="L49" s="28">
        <f t="shared" si="2"/>
        <v>0</v>
      </c>
      <c r="M49" s="14" t="s">
        <v>92</v>
      </c>
      <c r="N49" s="29"/>
      <c r="O49" s="27">
        <f t="shared" si="3"/>
        <v>0</v>
      </c>
      <c r="Q49" s="13"/>
      <c r="R49" s="36"/>
      <c r="S49" s="37"/>
      <c r="T49" s="12"/>
      <c r="V49" s="13"/>
      <c r="W49" s="36"/>
      <c r="X49" s="37"/>
      <c r="Y49" s="12"/>
    </row>
    <row r="50" spans="1:25" x14ac:dyDescent="0.25">
      <c r="A50" s="3" t="s">
        <v>5</v>
      </c>
      <c r="B50" s="463">
        <f>'Cardápio CMEI Integral 2017'!B36+'Cardápio CMEI Integral 2017'!B49+'Cardápio CMEI Integral 2017'!K46+'Cardápio CMEI Integral 2017'!T51+'Cardápio CMEI Integral 2017'!B71+'Cardápio CMEI Integral 2017'!B125+'Cardápio CMEI Integral 2017'!B99+'Cardápio CMEI Integral 2017'!K98+'Cardápio CMEI Integral 2017'!B105+'Cardápio CMEI Integral 2017'!B150+'Cardápio CMEI Integral 2017'!K147+'Cardápio CMEI Integral 2017'!U154+'Cardápio CMEI Integral 2017'!B173+'Cardápio CMEI Integral 2017'!B196+'Cardápio CMEI Integral 2017'!K191+'Cardápio CMEI Integral 2017'!B227+'Cardápio CMEI Integral 2017'!B252+'Cardápio CMEI Integral 2017'!K248+'Cardápio CMEI Integral 2017'!K255+'Cardápio CMEI Integral 2017'!B266</f>
        <v>12</v>
      </c>
      <c r="C50" s="57" t="s">
        <v>88</v>
      </c>
      <c r="D50" s="57">
        <v>1</v>
      </c>
      <c r="E50" s="509">
        <f t="shared" si="0"/>
        <v>12</v>
      </c>
      <c r="G50" s="26">
        <f>E50*$F$3/1000</f>
        <v>0</v>
      </c>
      <c r="H50" s="14" t="s">
        <v>25</v>
      </c>
      <c r="I50" s="29"/>
      <c r="J50" s="27">
        <f t="shared" si="1"/>
        <v>0</v>
      </c>
      <c r="L50" s="28">
        <f t="shared" si="2"/>
        <v>0</v>
      </c>
      <c r="M50" s="14" t="s">
        <v>25</v>
      </c>
      <c r="N50" s="29"/>
      <c r="O50" s="27">
        <f t="shared" si="3"/>
        <v>0</v>
      </c>
      <c r="Q50" s="2"/>
      <c r="R50" s="36"/>
      <c r="S50" s="37"/>
      <c r="T50" s="12"/>
      <c r="V50" s="2"/>
      <c r="W50" s="36"/>
      <c r="X50" s="37"/>
      <c r="Y50" s="12"/>
    </row>
    <row r="51" spans="1:25" ht="13.5" customHeight="1" x14ac:dyDescent="0.25">
      <c r="A51" s="3" t="s">
        <v>10</v>
      </c>
      <c r="B51" s="463">
        <f>'Cardápio CMEI Integral 2017'!B50+'Cardápio CMEI Integral 2017'!T52+'Cardápio CMEI Integral 2017'!B97+'Cardápio CMEI Integral 2017'!B119+'Cardápio CMEI Integral 2017'!B72+'Cardápio CMEI Integral 2017'!B151+'Cardápio CMEI Integral 2017'!U150+'Cardápio CMEI Integral 2017'!B171+'Cardápio CMEI Integral 2017'!B198+'Cardápio CMEI Integral 2017'!B220+'Cardápio CMEI Integral 2017'!B251</f>
        <v>96</v>
      </c>
      <c r="C51" s="57" t="s">
        <v>88</v>
      </c>
      <c r="D51" s="57">
        <v>1.33</v>
      </c>
      <c r="E51" s="509">
        <f t="shared" si="0"/>
        <v>127.68</v>
      </c>
      <c r="G51" s="26">
        <f>E51*$F$3/1000</f>
        <v>0</v>
      </c>
      <c r="H51" s="14" t="s">
        <v>25</v>
      </c>
      <c r="I51" s="29"/>
      <c r="J51" s="27">
        <f t="shared" si="1"/>
        <v>0</v>
      </c>
      <c r="L51" s="28">
        <f t="shared" si="2"/>
        <v>0</v>
      </c>
      <c r="M51" s="14" t="s">
        <v>25</v>
      </c>
      <c r="N51" s="29"/>
      <c r="O51" s="27">
        <f t="shared" si="3"/>
        <v>0</v>
      </c>
      <c r="Q51" s="2"/>
      <c r="R51" s="36"/>
      <c r="S51" s="37"/>
      <c r="T51" s="12"/>
      <c r="V51" s="2"/>
      <c r="W51" s="36"/>
      <c r="X51" s="37"/>
      <c r="Y51" s="12"/>
    </row>
    <row r="52" spans="1:25" ht="18" x14ac:dyDescent="0.25">
      <c r="J52" s="30">
        <f>SUM(J8:J51)</f>
        <v>0</v>
      </c>
      <c r="O52" s="30">
        <f>SUM(O8:O51)</f>
        <v>0</v>
      </c>
    </row>
  </sheetData>
  <sortState ref="A8:A212">
    <sortCondition ref="A8"/>
  </sortState>
  <mergeCells count="4">
    <mergeCell ref="B3:C3"/>
    <mergeCell ref="B7:C7"/>
    <mergeCell ref="Q4:T5"/>
    <mergeCell ref="V4:Y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2"/>
  <sheetViews>
    <sheetView workbookViewId="0">
      <selection activeCell="F4" sqref="F4"/>
    </sheetView>
  </sheetViews>
  <sheetFormatPr defaultRowHeight="15" x14ac:dyDescent="0.25"/>
  <cols>
    <col min="1" max="1" width="20.42578125" customWidth="1"/>
    <col min="2" max="2" width="9.7109375" customWidth="1"/>
    <col min="3" max="4" width="11" customWidth="1"/>
    <col min="5" max="5" width="14" customWidth="1"/>
    <col min="6" max="6" width="13.85546875" customWidth="1"/>
    <col min="7" max="7" width="15.7109375" style="19" customWidth="1"/>
    <col min="8" max="8" width="10.85546875" style="19" customWidth="1"/>
    <col min="9" max="9" width="14" bestFit="1" customWidth="1"/>
    <col min="10" max="10" width="20.5703125" customWidth="1"/>
    <col min="12" max="12" width="14.5703125" customWidth="1"/>
    <col min="13" max="13" width="13.7109375" customWidth="1"/>
    <col min="14" max="14" width="16.7109375" customWidth="1"/>
    <col min="15" max="15" width="22.85546875" customWidth="1"/>
    <col min="17" max="17" width="19.7109375" style="16" bestFit="1" customWidth="1"/>
    <col min="18" max="19" width="16.85546875" style="16" customWidth="1"/>
    <col min="20" max="20" width="11.7109375" style="16" customWidth="1"/>
    <col min="21" max="21" width="9.140625" style="16"/>
    <col min="22" max="22" width="14.140625" style="16" customWidth="1"/>
    <col min="23" max="23" width="18.5703125" style="16" customWidth="1"/>
    <col min="24" max="24" width="12.7109375" style="16" customWidth="1"/>
    <col min="25" max="25" width="14.42578125" style="16" customWidth="1"/>
    <col min="260" max="260" width="20.42578125" customWidth="1"/>
    <col min="262" max="262" width="11" customWidth="1"/>
    <col min="264" max="264" width="15.7109375" customWidth="1"/>
    <col min="265" max="265" width="10.85546875" customWidth="1"/>
    <col min="266" max="266" width="14" bestFit="1" customWidth="1"/>
    <col min="267" max="267" width="19.140625" customWidth="1"/>
    <col min="269" max="269" width="14.5703125" customWidth="1"/>
    <col min="270" max="270" width="13.7109375" customWidth="1"/>
    <col min="271" max="271" width="16.7109375" customWidth="1"/>
    <col min="272" max="272" width="17" customWidth="1"/>
    <col min="516" max="516" width="20.42578125" customWidth="1"/>
    <col min="518" max="518" width="11" customWidth="1"/>
    <col min="520" max="520" width="15.7109375" customWidth="1"/>
    <col min="521" max="521" width="10.85546875" customWidth="1"/>
    <col min="522" max="522" width="14" bestFit="1" customWidth="1"/>
    <col min="523" max="523" width="19.140625" customWidth="1"/>
    <col min="525" max="525" width="14.5703125" customWidth="1"/>
    <col min="526" max="526" width="13.7109375" customWidth="1"/>
    <col min="527" max="527" width="16.7109375" customWidth="1"/>
    <col min="528" max="528" width="17" customWidth="1"/>
    <col min="772" max="772" width="20.42578125" customWidth="1"/>
    <col min="774" max="774" width="11" customWidth="1"/>
    <col min="776" max="776" width="15.7109375" customWidth="1"/>
    <col min="777" max="777" width="10.85546875" customWidth="1"/>
    <col min="778" max="778" width="14" bestFit="1" customWidth="1"/>
    <col min="779" max="779" width="19.140625" customWidth="1"/>
    <col min="781" max="781" width="14.5703125" customWidth="1"/>
    <col min="782" max="782" width="13.7109375" customWidth="1"/>
    <col min="783" max="783" width="16.7109375" customWidth="1"/>
    <col min="784" max="784" width="17" customWidth="1"/>
    <col min="1028" max="1028" width="20.42578125" customWidth="1"/>
    <col min="1030" max="1030" width="11" customWidth="1"/>
    <col min="1032" max="1032" width="15.7109375" customWidth="1"/>
    <col min="1033" max="1033" width="10.85546875" customWidth="1"/>
    <col min="1034" max="1034" width="14" bestFit="1" customWidth="1"/>
    <col min="1035" max="1035" width="19.140625" customWidth="1"/>
    <col min="1037" max="1037" width="14.5703125" customWidth="1"/>
    <col min="1038" max="1038" width="13.7109375" customWidth="1"/>
    <col min="1039" max="1039" width="16.7109375" customWidth="1"/>
    <col min="1040" max="1040" width="17" customWidth="1"/>
    <col min="1284" max="1284" width="20.42578125" customWidth="1"/>
    <col min="1286" max="1286" width="11" customWidth="1"/>
    <col min="1288" max="1288" width="15.7109375" customWidth="1"/>
    <col min="1289" max="1289" width="10.85546875" customWidth="1"/>
    <col min="1290" max="1290" width="14" bestFit="1" customWidth="1"/>
    <col min="1291" max="1291" width="19.140625" customWidth="1"/>
    <col min="1293" max="1293" width="14.5703125" customWidth="1"/>
    <col min="1294" max="1294" width="13.7109375" customWidth="1"/>
    <col min="1295" max="1295" width="16.7109375" customWidth="1"/>
    <col min="1296" max="1296" width="17" customWidth="1"/>
    <col min="1540" max="1540" width="20.42578125" customWidth="1"/>
    <col min="1542" max="1542" width="11" customWidth="1"/>
    <col min="1544" max="1544" width="15.7109375" customWidth="1"/>
    <col min="1545" max="1545" width="10.85546875" customWidth="1"/>
    <col min="1546" max="1546" width="14" bestFit="1" customWidth="1"/>
    <col min="1547" max="1547" width="19.140625" customWidth="1"/>
    <col min="1549" max="1549" width="14.5703125" customWidth="1"/>
    <col min="1550" max="1550" width="13.7109375" customWidth="1"/>
    <col min="1551" max="1551" width="16.7109375" customWidth="1"/>
    <col min="1552" max="1552" width="17" customWidth="1"/>
    <col min="1796" max="1796" width="20.42578125" customWidth="1"/>
    <col min="1798" max="1798" width="11" customWidth="1"/>
    <col min="1800" max="1800" width="15.7109375" customWidth="1"/>
    <col min="1801" max="1801" width="10.85546875" customWidth="1"/>
    <col min="1802" max="1802" width="14" bestFit="1" customWidth="1"/>
    <col min="1803" max="1803" width="19.140625" customWidth="1"/>
    <col min="1805" max="1805" width="14.5703125" customWidth="1"/>
    <col min="1806" max="1806" width="13.7109375" customWidth="1"/>
    <col min="1807" max="1807" width="16.7109375" customWidth="1"/>
    <col min="1808" max="1808" width="17" customWidth="1"/>
    <col min="2052" max="2052" width="20.42578125" customWidth="1"/>
    <col min="2054" max="2054" width="11" customWidth="1"/>
    <col min="2056" max="2056" width="15.7109375" customWidth="1"/>
    <col min="2057" max="2057" width="10.85546875" customWidth="1"/>
    <col min="2058" max="2058" width="14" bestFit="1" customWidth="1"/>
    <col min="2059" max="2059" width="19.140625" customWidth="1"/>
    <col min="2061" max="2061" width="14.5703125" customWidth="1"/>
    <col min="2062" max="2062" width="13.7109375" customWidth="1"/>
    <col min="2063" max="2063" width="16.7109375" customWidth="1"/>
    <col min="2064" max="2064" width="17" customWidth="1"/>
    <col min="2308" max="2308" width="20.42578125" customWidth="1"/>
    <col min="2310" max="2310" width="11" customWidth="1"/>
    <col min="2312" max="2312" width="15.7109375" customWidth="1"/>
    <col min="2313" max="2313" width="10.85546875" customWidth="1"/>
    <col min="2314" max="2314" width="14" bestFit="1" customWidth="1"/>
    <col min="2315" max="2315" width="19.140625" customWidth="1"/>
    <col min="2317" max="2317" width="14.5703125" customWidth="1"/>
    <col min="2318" max="2318" width="13.7109375" customWidth="1"/>
    <col min="2319" max="2319" width="16.7109375" customWidth="1"/>
    <col min="2320" max="2320" width="17" customWidth="1"/>
    <col min="2564" max="2564" width="20.42578125" customWidth="1"/>
    <col min="2566" max="2566" width="11" customWidth="1"/>
    <col min="2568" max="2568" width="15.7109375" customWidth="1"/>
    <col min="2569" max="2569" width="10.85546875" customWidth="1"/>
    <col min="2570" max="2570" width="14" bestFit="1" customWidth="1"/>
    <col min="2571" max="2571" width="19.140625" customWidth="1"/>
    <col min="2573" max="2573" width="14.5703125" customWidth="1"/>
    <col min="2574" max="2574" width="13.7109375" customWidth="1"/>
    <col min="2575" max="2575" width="16.7109375" customWidth="1"/>
    <col min="2576" max="2576" width="17" customWidth="1"/>
    <col min="2820" max="2820" width="20.42578125" customWidth="1"/>
    <col min="2822" max="2822" width="11" customWidth="1"/>
    <col min="2824" max="2824" width="15.7109375" customWidth="1"/>
    <col min="2825" max="2825" width="10.85546875" customWidth="1"/>
    <col min="2826" max="2826" width="14" bestFit="1" customWidth="1"/>
    <col min="2827" max="2827" width="19.140625" customWidth="1"/>
    <col min="2829" max="2829" width="14.5703125" customWidth="1"/>
    <col min="2830" max="2830" width="13.7109375" customWidth="1"/>
    <col min="2831" max="2831" width="16.7109375" customWidth="1"/>
    <col min="2832" max="2832" width="17" customWidth="1"/>
    <col min="3076" max="3076" width="20.42578125" customWidth="1"/>
    <col min="3078" max="3078" width="11" customWidth="1"/>
    <col min="3080" max="3080" width="15.7109375" customWidth="1"/>
    <col min="3081" max="3081" width="10.85546875" customWidth="1"/>
    <col min="3082" max="3082" width="14" bestFit="1" customWidth="1"/>
    <col min="3083" max="3083" width="19.140625" customWidth="1"/>
    <col min="3085" max="3085" width="14.5703125" customWidth="1"/>
    <col min="3086" max="3086" width="13.7109375" customWidth="1"/>
    <col min="3087" max="3087" width="16.7109375" customWidth="1"/>
    <col min="3088" max="3088" width="17" customWidth="1"/>
    <col min="3332" max="3332" width="20.42578125" customWidth="1"/>
    <col min="3334" max="3334" width="11" customWidth="1"/>
    <col min="3336" max="3336" width="15.7109375" customWidth="1"/>
    <col min="3337" max="3337" width="10.85546875" customWidth="1"/>
    <col min="3338" max="3338" width="14" bestFit="1" customWidth="1"/>
    <col min="3339" max="3339" width="19.140625" customWidth="1"/>
    <col min="3341" max="3341" width="14.5703125" customWidth="1"/>
    <col min="3342" max="3342" width="13.7109375" customWidth="1"/>
    <col min="3343" max="3343" width="16.7109375" customWidth="1"/>
    <col min="3344" max="3344" width="17" customWidth="1"/>
    <col min="3588" max="3588" width="20.42578125" customWidth="1"/>
    <col min="3590" max="3590" width="11" customWidth="1"/>
    <col min="3592" max="3592" width="15.7109375" customWidth="1"/>
    <col min="3593" max="3593" width="10.85546875" customWidth="1"/>
    <col min="3594" max="3594" width="14" bestFit="1" customWidth="1"/>
    <col min="3595" max="3595" width="19.140625" customWidth="1"/>
    <col min="3597" max="3597" width="14.5703125" customWidth="1"/>
    <col min="3598" max="3598" width="13.7109375" customWidth="1"/>
    <col min="3599" max="3599" width="16.7109375" customWidth="1"/>
    <col min="3600" max="3600" width="17" customWidth="1"/>
    <col min="3844" max="3844" width="20.42578125" customWidth="1"/>
    <col min="3846" max="3846" width="11" customWidth="1"/>
    <col min="3848" max="3848" width="15.7109375" customWidth="1"/>
    <col min="3849" max="3849" width="10.85546875" customWidth="1"/>
    <col min="3850" max="3850" width="14" bestFit="1" customWidth="1"/>
    <col min="3851" max="3851" width="19.140625" customWidth="1"/>
    <col min="3853" max="3853" width="14.5703125" customWidth="1"/>
    <col min="3854" max="3854" width="13.7109375" customWidth="1"/>
    <col min="3855" max="3855" width="16.7109375" customWidth="1"/>
    <col min="3856" max="3856" width="17" customWidth="1"/>
    <col min="4100" max="4100" width="20.42578125" customWidth="1"/>
    <col min="4102" max="4102" width="11" customWidth="1"/>
    <col min="4104" max="4104" width="15.7109375" customWidth="1"/>
    <col min="4105" max="4105" width="10.85546875" customWidth="1"/>
    <col min="4106" max="4106" width="14" bestFit="1" customWidth="1"/>
    <col min="4107" max="4107" width="19.140625" customWidth="1"/>
    <col min="4109" max="4109" width="14.5703125" customWidth="1"/>
    <col min="4110" max="4110" width="13.7109375" customWidth="1"/>
    <col min="4111" max="4111" width="16.7109375" customWidth="1"/>
    <col min="4112" max="4112" width="17" customWidth="1"/>
    <col min="4356" max="4356" width="20.42578125" customWidth="1"/>
    <col min="4358" max="4358" width="11" customWidth="1"/>
    <col min="4360" max="4360" width="15.7109375" customWidth="1"/>
    <col min="4361" max="4361" width="10.85546875" customWidth="1"/>
    <col min="4362" max="4362" width="14" bestFit="1" customWidth="1"/>
    <col min="4363" max="4363" width="19.140625" customWidth="1"/>
    <col min="4365" max="4365" width="14.5703125" customWidth="1"/>
    <col min="4366" max="4366" width="13.7109375" customWidth="1"/>
    <col min="4367" max="4367" width="16.7109375" customWidth="1"/>
    <col min="4368" max="4368" width="17" customWidth="1"/>
    <col min="4612" max="4612" width="20.42578125" customWidth="1"/>
    <col min="4614" max="4614" width="11" customWidth="1"/>
    <col min="4616" max="4616" width="15.7109375" customWidth="1"/>
    <col min="4617" max="4617" width="10.85546875" customWidth="1"/>
    <col min="4618" max="4618" width="14" bestFit="1" customWidth="1"/>
    <col min="4619" max="4619" width="19.140625" customWidth="1"/>
    <col min="4621" max="4621" width="14.5703125" customWidth="1"/>
    <col min="4622" max="4622" width="13.7109375" customWidth="1"/>
    <col min="4623" max="4623" width="16.7109375" customWidth="1"/>
    <col min="4624" max="4624" width="17" customWidth="1"/>
    <col min="4868" max="4868" width="20.42578125" customWidth="1"/>
    <col min="4870" max="4870" width="11" customWidth="1"/>
    <col min="4872" max="4872" width="15.7109375" customWidth="1"/>
    <col min="4873" max="4873" width="10.85546875" customWidth="1"/>
    <col min="4874" max="4874" width="14" bestFit="1" customWidth="1"/>
    <col min="4875" max="4875" width="19.140625" customWidth="1"/>
    <col min="4877" max="4877" width="14.5703125" customWidth="1"/>
    <col min="4878" max="4878" width="13.7109375" customWidth="1"/>
    <col min="4879" max="4879" width="16.7109375" customWidth="1"/>
    <col min="4880" max="4880" width="17" customWidth="1"/>
    <col min="5124" max="5124" width="20.42578125" customWidth="1"/>
    <col min="5126" max="5126" width="11" customWidth="1"/>
    <col min="5128" max="5128" width="15.7109375" customWidth="1"/>
    <col min="5129" max="5129" width="10.85546875" customWidth="1"/>
    <col min="5130" max="5130" width="14" bestFit="1" customWidth="1"/>
    <col min="5131" max="5131" width="19.140625" customWidth="1"/>
    <col min="5133" max="5133" width="14.5703125" customWidth="1"/>
    <col min="5134" max="5134" width="13.7109375" customWidth="1"/>
    <col min="5135" max="5135" width="16.7109375" customWidth="1"/>
    <col min="5136" max="5136" width="17" customWidth="1"/>
    <col min="5380" max="5380" width="20.42578125" customWidth="1"/>
    <col min="5382" max="5382" width="11" customWidth="1"/>
    <col min="5384" max="5384" width="15.7109375" customWidth="1"/>
    <col min="5385" max="5385" width="10.85546875" customWidth="1"/>
    <col min="5386" max="5386" width="14" bestFit="1" customWidth="1"/>
    <col min="5387" max="5387" width="19.140625" customWidth="1"/>
    <col min="5389" max="5389" width="14.5703125" customWidth="1"/>
    <col min="5390" max="5390" width="13.7109375" customWidth="1"/>
    <col min="5391" max="5391" width="16.7109375" customWidth="1"/>
    <col min="5392" max="5392" width="17" customWidth="1"/>
    <col min="5636" max="5636" width="20.42578125" customWidth="1"/>
    <col min="5638" max="5638" width="11" customWidth="1"/>
    <col min="5640" max="5640" width="15.7109375" customWidth="1"/>
    <col min="5641" max="5641" width="10.85546875" customWidth="1"/>
    <col min="5642" max="5642" width="14" bestFit="1" customWidth="1"/>
    <col min="5643" max="5643" width="19.140625" customWidth="1"/>
    <col min="5645" max="5645" width="14.5703125" customWidth="1"/>
    <col min="5646" max="5646" width="13.7109375" customWidth="1"/>
    <col min="5647" max="5647" width="16.7109375" customWidth="1"/>
    <col min="5648" max="5648" width="17" customWidth="1"/>
    <col min="5892" max="5892" width="20.42578125" customWidth="1"/>
    <col min="5894" max="5894" width="11" customWidth="1"/>
    <col min="5896" max="5896" width="15.7109375" customWidth="1"/>
    <col min="5897" max="5897" width="10.85546875" customWidth="1"/>
    <col min="5898" max="5898" width="14" bestFit="1" customWidth="1"/>
    <col min="5899" max="5899" width="19.140625" customWidth="1"/>
    <col min="5901" max="5901" width="14.5703125" customWidth="1"/>
    <col min="5902" max="5902" width="13.7109375" customWidth="1"/>
    <col min="5903" max="5903" width="16.7109375" customWidth="1"/>
    <col min="5904" max="5904" width="17" customWidth="1"/>
    <col min="6148" max="6148" width="20.42578125" customWidth="1"/>
    <col min="6150" max="6150" width="11" customWidth="1"/>
    <col min="6152" max="6152" width="15.7109375" customWidth="1"/>
    <col min="6153" max="6153" width="10.85546875" customWidth="1"/>
    <col min="6154" max="6154" width="14" bestFit="1" customWidth="1"/>
    <col min="6155" max="6155" width="19.140625" customWidth="1"/>
    <col min="6157" max="6157" width="14.5703125" customWidth="1"/>
    <col min="6158" max="6158" width="13.7109375" customWidth="1"/>
    <col min="6159" max="6159" width="16.7109375" customWidth="1"/>
    <col min="6160" max="6160" width="17" customWidth="1"/>
    <col min="6404" max="6404" width="20.42578125" customWidth="1"/>
    <col min="6406" max="6406" width="11" customWidth="1"/>
    <col min="6408" max="6408" width="15.7109375" customWidth="1"/>
    <col min="6409" max="6409" width="10.85546875" customWidth="1"/>
    <col min="6410" max="6410" width="14" bestFit="1" customWidth="1"/>
    <col min="6411" max="6411" width="19.140625" customWidth="1"/>
    <col min="6413" max="6413" width="14.5703125" customWidth="1"/>
    <col min="6414" max="6414" width="13.7109375" customWidth="1"/>
    <col min="6415" max="6415" width="16.7109375" customWidth="1"/>
    <col min="6416" max="6416" width="17" customWidth="1"/>
    <col min="6660" max="6660" width="20.42578125" customWidth="1"/>
    <col min="6662" max="6662" width="11" customWidth="1"/>
    <col min="6664" max="6664" width="15.7109375" customWidth="1"/>
    <col min="6665" max="6665" width="10.85546875" customWidth="1"/>
    <col min="6666" max="6666" width="14" bestFit="1" customWidth="1"/>
    <col min="6667" max="6667" width="19.140625" customWidth="1"/>
    <col min="6669" max="6669" width="14.5703125" customWidth="1"/>
    <col min="6670" max="6670" width="13.7109375" customWidth="1"/>
    <col min="6671" max="6671" width="16.7109375" customWidth="1"/>
    <col min="6672" max="6672" width="17" customWidth="1"/>
    <col min="6916" max="6916" width="20.42578125" customWidth="1"/>
    <col min="6918" max="6918" width="11" customWidth="1"/>
    <col min="6920" max="6920" width="15.7109375" customWidth="1"/>
    <col min="6921" max="6921" width="10.85546875" customWidth="1"/>
    <col min="6922" max="6922" width="14" bestFit="1" customWidth="1"/>
    <col min="6923" max="6923" width="19.140625" customWidth="1"/>
    <col min="6925" max="6925" width="14.5703125" customWidth="1"/>
    <col min="6926" max="6926" width="13.7109375" customWidth="1"/>
    <col min="6927" max="6927" width="16.7109375" customWidth="1"/>
    <col min="6928" max="6928" width="17" customWidth="1"/>
    <col min="7172" max="7172" width="20.42578125" customWidth="1"/>
    <col min="7174" max="7174" width="11" customWidth="1"/>
    <col min="7176" max="7176" width="15.7109375" customWidth="1"/>
    <col min="7177" max="7177" width="10.85546875" customWidth="1"/>
    <col min="7178" max="7178" width="14" bestFit="1" customWidth="1"/>
    <col min="7179" max="7179" width="19.140625" customWidth="1"/>
    <col min="7181" max="7181" width="14.5703125" customWidth="1"/>
    <col min="7182" max="7182" width="13.7109375" customWidth="1"/>
    <col min="7183" max="7183" width="16.7109375" customWidth="1"/>
    <col min="7184" max="7184" width="17" customWidth="1"/>
    <col min="7428" max="7428" width="20.42578125" customWidth="1"/>
    <col min="7430" max="7430" width="11" customWidth="1"/>
    <col min="7432" max="7432" width="15.7109375" customWidth="1"/>
    <col min="7433" max="7433" width="10.85546875" customWidth="1"/>
    <col min="7434" max="7434" width="14" bestFit="1" customWidth="1"/>
    <col min="7435" max="7435" width="19.140625" customWidth="1"/>
    <col min="7437" max="7437" width="14.5703125" customWidth="1"/>
    <col min="7438" max="7438" width="13.7109375" customWidth="1"/>
    <col min="7439" max="7439" width="16.7109375" customWidth="1"/>
    <col min="7440" max="7440" width="17" customWidth="1"/>
    <col min="7684" max="7684" width="20.42578125" customWidth="1"/>
    <col min="7686" max="7686" width="11" customWidth="1"/>
    <col min="7688" max="7688" width="15.7109375" customWidth="1"/>
    <col min="7689" max="7689" width="10.85546875" customWidth="1"/>
    <col min="7690" max="7690" width="14" bestFit="1" customWidth="1"/>
    <col min="7691" max="7691" width="19.140625" customWidth="1"/>
    <col min="7693" max="7693" width="14.5703125" customWidth="1"/>
    <col min="7694" max="7694" width="13.7109375" customWidth="1"/>
    <col min="7695" max="7695" width="16.7109375" customWidth="1"/>
    <col min="7696" max="7696" width="17" customWidth="1"/>
    <col min="7940" max="7940" width="20.42578125" customWidth="1"/>
    <col min="7942" max="7942" width="11" customWidth="1"/>
    <col min="7944" max="7944" width="15.7109375" customWidth="1"/>
    <col min="7945" max="7945" width="10.85546875" customWidth="1"/>
    <col min="7946" max="7946" width="14" bestFit="1" customWidth="1"/>
    <col min="7947" max="7947" width="19.140625" customWidth="1"/>
    <col min="7949" max="7949" width="14.5703125" customWidth="1"/>
    <col min="7950" max="7950" width="13.7109375" customWidth="1"/>
    <col min="7951" max="7951" width="16.7109375" customWidth="1"/>
    <col min="7952" max="7952" width="17" customWidth="1"/>
    <col min="8196" max="8196" width="20.42578125" customWidth="1"/>
    <col min="8198" max="8198" width="11" customWidth="1"/>
    <col min="8200" max="8200" width="15.7109375" customWidth="1"/>
    <col min="8201" max="8201" width="10.85546875" customWidth="1"/>
    <col min="8202" max="8202" width="14" bestFit="1" customWidth="1"/>
    <col min="8203" max="8203" width="19.140625" customWidth="1"/>
    <col min="8205" max="8205" width="14.5703125" customWidth="1"/>
    <col min="8206" max="8206" width="13.7109375" customWidth="1"/>
    <col min="8207" max="8207" width="16.7109375" customWidth="1"/>
    <col min="8208" max="8208" width="17" customWidth="1"/>
    <col min="8452" max="8452" width="20.42578125" customWidth="1"/>
    <col min="8454" max="8454" width="11" customWidth="1"/>
    <col min="8456" max="8456" width="15.7109375" customWidth="1"/>
    <col min="8457" max="8457" width="10.85546875" customWidth="1"/>
    <col min="8458" max="8458" width="14" bestFit="1" customWidth="1"/>
    <col min="8459" max="8459" width="19.140625" customWidth="1"/>
    <col min="8461" max="8461" width="14.5703125" customWidth="1"/>
    <col min="8462" max="8462" width="13.7109375" customWidth="1"/>
    <col min="8463" max="8463" width="16.7109375" customWidth="1"/>
    <col min="8464" max="8464" width="17" customWidth="1"/>
    <col min="8708" max="8708" width="20.42578125" customWidth="1"/>
    <col min="8710" max="8710" width="11" customWidth="1"/>
    <col min="8712" max="8712" width="15.7109375" customWidth="1"/>
    <col min="8713" max="8713" width="10.85546875" customWidth="1"/>
    <col min="8714" max="8714" width="14" bestFit="1" customWidth="1"/>
    <col min="8715" max="8715" width="19.140625" customWidth="1"/>
    <col min="8717" max="8717" width="14.5703125" customWidth="1"/>
    <col min="8718" max="8718" width="13.7109375" customWidth="1"/>
    <col min="8719" max="8719" width="16.7109375" customWidth="1"/>
    <col min="8720" max="8720" width="17" customWidth="1"/>
    <col min="8964" max="8964" width="20.42578125" customWidth="1"/>
    <col min="8966" max="8966" width="11" customWidth="1"/>
    <col min="8968" max="8968" width="15.7109375" customWidth="1"/>
    <col min="8969" max="8969" width="10.85546875" customWidth="1"/>
    <col min="8970" max="8970" width="14" bestFit="1" customWidth="1"/>
    <col min="8971" max="8971" width="19.140625" customWidth="1"/>
    <col min="8973" max="8973" width="14.5703125" customWidth="1"/>
    <col min="8974" max="8974" width="13.7109375" customWidth="1"/>
    <col min="8975" max="8975" width="16.7109375" customWidth="1"/>
    <col min="8976" max="8976" width="17" customWidth="1"/>
    <col min="9220" max="9220" width="20.42578125" customWidth="1"/>
    <col min="9222" max="9222" width="11" customWidth="1"/>
    <col min="9224" max="9224" width="15.7109375" customWidth="1"/>
    <col min="9225" max="9225" width="10.85546875" customWidth="1"/>
    <col min="9226" max="9226" width="14" bestFit="1" customWidth="1"/>
    <col min="9227" max="9227" width="19.140625" customWidth="1"/>
    <col min="9229" max="9229" width="14.5703125" customWidth="1"/>
    <col min="9230" max="9230" width="13.7109375" customWidth="1"/>
    <col min="9231" max="9231" width="16.7109375" customWidth="1"/>
    <col min="9232" max="9232" width="17" customWidth="1"/>
    <col min="9476" max="9476" width="20.42578125" customWidth="1"/>
    <col min="9478" max="9478" width="11" customWidth="1"/>
    <col min="9480" max="9480" width="15.7109375" customWidth="1"/>
    <col min="9481" max="9481" width="10.85546875" customWidth="1"/>
    <col min="9482" max="9482" width="14" bestFit="1" customWidth="1"/>
    <col min="9483" max="9483" width="19.140625" customWidth="1"/>
    <col min="9485" max="9485" width="14.5703125" customWidth="1"/>
    <col min="9486" max="9486" width="13.7109375" customWidth="1"/>
    <col min="9487" max="9487" width="16.7109375" customWidth="1"/>
    <col min="9488" max="9488" width="17" customWidth="1"/>
    <col min="9732" max="9732" width="20.42578125" customWidth="1"/>
    <col min="9734" max="9734" width="11" customWidth="1"/>
    <col min="9736" max="9736" width="15.7109375" customWidth="1"/>
    <col min="9737" max="9737" width="10.85546875" customWidth="1"/>
    <col min="9738" max="9738" width="14" bestFit="1" customWidth="1"/>
    <col min="9739" max="9739" width="19.140625" customWidth="1"/>
    <col min="9741" max="9741" width="14.5703125" customWidth="1"/>
    <col min="9742" max="9742" width="13.7109375" customWidth="1"/>
    <col min="9743" max="9743" width="16.7109375" customWidth="1"/>
    <col min="9744" max="9744" width="17" customWidth="1"/>
    <col min="9988" max="9988" width="20.42578125" customWidth="1"/>
    <col min="9990" max="9990" width="11" customWidth="1"/>
    <col min="9992" max="9992" width="15.7109375" customWidth="1"/>
    <col min="9993" max="9993" width="10.85546875" customWidth="1"/>
    <col min="9994" max="9994" width="14" bestFit="1" customWidth="1"/>
    <col min="9995" max="9995" width="19.140625" customWidth="1"/>
    <col min="9997" max="9997" width="14.5703125" customWidth="1"/>
    <col min="9998" max="9998" width="13.7109375" customWidth="1"/>
    <col min="9999" max="9999" width="16.7109375" customWidth="1"/>
    <col min="10000" max="10000" width="17" customWidth="1"/>
    <col min="10244" max="10244" width="20.42578125" customWidth="1"/>
    <col min="10246" max="10246" width="11" customWidth="1"/>
    <col min="10248" max="10248" width="15.7109375" customWidth="1"/>
    <col min="10249" max="10249" width="10.85546875" customWidth="1"/>
    <col min="10250" max="10250" width="14" bestFit="1" customWidth="1"/>
    <col min="10251" max="10251" width="19.140625" customWidth="1"/>
    <col min="10253" max="10253" width="14.5703125" customWidth="1"/>
    <col min="10254" max="10254" width="13.7109375" customWidth="1"/>
    <col min="10255" max="10255" width="16.7109375" customWidth="1"/>
    <col min="10256" max="10256" width="17" customWidth="1"/>
    <col min="10500" max="10500" width="20.42578125" customWidth="1"/>
    <col min="10502" max="10502" width="11" customWidth="1"/>
    <col min="10504" max="10504" width="15.7109375" customWidth="1"/>
    <col min="10505" max="10505" width="10.85546875" customWidth="1"/>
    <col min="10506" max="10506" width="14" bestFit="1" customWidth="1"/>
    <col min="10507" max="10507" width="19.140625" customWidth="1"/>
    <col min="10509" max="10509" width="14.5703125" customWidth="1"/>
    <col min="10510" max="10510" width="13.7109375" customWidth="1"/>
    <col min="10511" max="10511" width="16.7109375" customWidth="1"/>
    <col min="10512" max="10512" width="17" customWidth="1"/>
    <col min="10756" max="10756" width="20.42578125" customWidth="1"/>
    <col min="10758" max="10758" width="11" customWidth="1"/>
    <col min="10760" max="10760" width="15.7109375" customWidth="1"/>
    <col min="10761" max="10761" width="10.85546875" customWidth="1"/>
    <col min="10762" max="10762" width="14" bestFit="1" customWidth="1"/>
    <col min="10763" max="10763" width="19.140625" customWidth="1"/>
    <col min="10765" max="10765" width="14.5703125" customWidth="1"/>
    <col min="10766" max="10766" width="13.7109375" customWidth="1"/>
    <col min="10767" max="10767" width="16.7109375" customWidth="1"/>
    <col min="10768" max="10768" width="17" customWidth="1"/>
    <col min="11012" max="11012" width="20.42578125" customWidth="1"/>
    <col min="11014" max="11014" width="11" customWidth="1"/>
    <col min="11016" max="11016" width="15.7109375" customWidth="1"/>
    <col min="11017" max="11017" width="10.85546875" customWidth="1"/>
    <col min="11018" max="11018" width="14" bestFit="1" customWidth="1"/>
    <col min="11019" max="11019" width="19.140625" customWidth="1"/>
    <col min="11021" max="11021" width="14.5703125" customWidth="1"/>
    <col min="11022" max="11022" width="13.7109375" customWidth="1"/>
    <col min="11023" max="11023" width="16.7109375" customWidth="1"/>
    <col min="11024" max="11024" width="17" customWidth="1"/>
    <col min="11268" max="11268" width="20.42578125" customWidth="1"/>
    <col min="11270" max="11270" width="11" customWidth="1"/>
    <col min="11272" max="11272" width="15.7109375" customWidth="1"/>
    <col min="11273" max="11273" width="10.85546875" customWidth="1"/>
    <col min="11274" max="11274" width="14" bestFit="1" customWidth="1"/>
    <col min="11275" max="11275" width="19.140625" customWidth="1"/>
    <col min="11277" max="11277" width="14.5703125" customWidth="1"/>
    <col min="11278" max="11278" width="13.7109375" customWidth="1"/>
    <col min="11279" max="11279" width="16.7109375" customWidth="1"/>
    <col min="11280" max="11280" width="17" customWidth="1"/>
    <col min="11524" max="11524" width="20.42578125" customWidth="1"/>
    <col min="11526" max="11526" width="11" customWidth="1"/>
    <col min="11528" max="11528" width="15.7109375" customWidth="1"/>
    <col min="11529" max="11529" width="10.85546875" customWidth="1"/>
    <col min="11530" max="11530" width="14" bestFit="1" customWidth="1"/>
    <col min="11531" max="11531" width="19.140625" customWidth="1"/>
    <col min="11533" max="11533" width="14.5703125" customWidth="1"/>
    <col min="11534" max="11534" width="13.7109375" customWidth="1"/>
    <col min="11535" max="11535" width="16.7109375" customWidth="1"/>
    <col min="11536" max="11536" width="17" customWidth="1"/>
    <col min="11780" max="11780" width="20.42578125" customWidth="1"/>
    <col min="11782" max="11782" width="11" customWidth="1"/>
    <col min="11784" max="11784" width="15.7109375" customWidth="1"/>
    <col min="11785" max="11785" width="10.85546875" customWidth="1"/>
    <col min="11786" max="11786" width="14" bestFit="1" customWidth="1"/>
    <col min="11787" max="11787" width="19.140625" customWidth="1"/>
    <col min="11789" max="11789" width="14.5703125" customWidth="1"/>
    <col min="11790" max="11790" width="13.7109375" customWidth="1"/>
    <col min="11791" max="11791" width="16.7109375" customWidth="1"/>
    <col min="11792" max="11792" width="17" customWidth="1"/>
    <col min="12036" max="12036" width="20.42578125" customWidth="1"/>
    <col min="12038" max="12038" width="11" customWidth="1"/>
    <col min="12040" max="12040" width="15.7109375" customWidth="1"/>
    <col min="12041" max="12041" width="10.85546875" customWidth="1"/>
    <col min="12042" max="12042" width="14" bestFit="1" customWidth="1"/>
    <col min="12043" max="12043" width="19.140625" customWidth="1"/>
    <col min="12045" max="12045" width="14.5703125" customWidth="1"/>
    <col min="12046" max="12046" width="13.7109375" customWidth="1"/>
    <col min="12047" max="12047" width="16.7109375" customWidth="1"/>
    <col min="12048" max="12048" width="17" customWidth="1"/>
    <col min="12292" max="12292" width="20.42578125" customWidth="1"/>
    <col min="12294" max="12294" width="11" customWidth="1"/>
    <col min="12296" max="12296" width="15.7109375" customWidth="1"/>
    <col min="12297" max="12297" width="10.85546875" customWidth="1"/>
    <col min="12298" max="12298" width="14" bestFit="1" customWidth="1"/>
    <col min="12299" max="12299" width="19.140625" customWidth="1"/>
    <col min="12301" max="12301" width="14.5703125" customWidth="1"/>
    <col min="12302" max="12302" width="13.7109375" customWidth="1"/>
    <col min="12303" max="12303" width="16.7109375" customWidth="1"/>
    <col min="12304" max="12304" width="17" customWidth="1"/>
    <col min="12548" max="12548" width="20.42578125" customWidth="1"/>
    <col min="12550" max="12550" width="11" customWidth="1"/>
    <col min="12552" max="12552" width="15.7109375" customWidth="1"/>
    <col min="12553" max="12553" width="10.85546875" customWidth="1"/>
    <col min="12554" max="12554" width="14" bestFit="1" customWidth="1"/>
    <col min="12555" max="12555" width="19.140625" customWidth="1"/>
    <col min="12557" max="12557" width="14.5703125" customWidth="1"/>
    <col min="12558" max="12558" width="13.7109375" customWidth="1"/>
    <col min="12559" max="12559" width="16.7109375" customWidth="1"/>
    <col min="12560" max="12560" width="17" customWidth="1"/>
    <col min="12804" max="12804" width="20.42578125" customWidth="1"/>
    <col min="12806" max="12806" width="11" customWidth="1"/>
    <col min="12808" max="12808" width="15.7109375" customWidth="1"/>
    <col min="12809" max="12809" width="10.85546875" customWidth="1"/>
    <col min="12810" max="12810" width="14" bestFit="1" customWidth="1"/>
    <col min="12811" max="12811" width="19.140625" customWidth="1"/>
    <col min="12813" max="12813" width="14.5703125" customWidth="1"/>
    <col min="12814" max="12814" width="13.7109375" customWidth="1"/>
    <col min="12815" max="12815" width="16.7109375" customWidth="1"/>
    <col min="12816" max="12816" width="17" customWidth="1"/>
    <col min="13060" max="13060" width="20.42578125" customWidth="1"/>
    <col min="13062" max="13062" width="11" customWidth="1"/>
    <col min="13064" max="13064" width="15.7109375" customWidth="1"/>
    <col min="13065" max="13065" width="10.85546875" customWidth="1"/>
    <col min="13066" max="13066" width="14" bestFit="1" customWidth="1"/>
    <col min="13067" max="13067" width="19.140625" customWidth="1"/>
    <col min="13069" max="13069" width="14.5703125" customWidth="1"/>
    <col min="13070" max="13070" width="13.7109375" customWidth="1"/>
    <col min="13071" max="13071" width="16.7109375" customWidth="1"/>
    <col min="13072" max="13072" width="17" customWidth="1"/>
    <col min="13316" max="13316" width="20.42578125" customWidth="1"/>
    <col min="13318" max="13318" width="11" customWidth="1"/>
    <col min="13320" max="13320" width="15.7109375" customWidth="1"/>
    <col min="13321" max="13321" width="10.85546875" customWidth="1"/>
    <col min="13322" max="13322" width="14" bestFit="1" customWidth="1"/>
    <col min="13323" max="13323" width="19.140625" customWidth="1"/>
    <col min="13325" max="13325" width="14.5703125" customWidth="1"/>
    <col min="13326" max="13326" width="13.7109375" customWidth="1"/>
    <col min="13327" max="13327" width="16.7109375" customWidth="1"/>
    <col min="13328" max="13328" width="17" customWidth="1"/>
    <col min="13572" max="13572" width="20.42578125" customWidth="1"/>
    <col min="13574" max="13574" width="11" customWidth="1"/>
    <col min="13576" max="13576" width="15.7109375" customWidth="1"/>
    <col min="13577" max="13577" width="10.85546875" customWidth="1"/>
    <col min="13578" max="13578" width="14" bestFit="1" customWidth="1"/>
    <col min="13579" max="13579" width="19.140625" customWidth="1"/>
    <col min="13581" max="13581" width="14.5703125" customWidth="1"/>
    <col min="13582" max="13582" width="13.7109375" customWidth="1"/>
    <col min="13583" max="13583" width="16.7109375" customWidth="1"/>
    <col min="13584" max="13584" width="17" customWidth="1"/>
    <col min="13828" max="13828" width="20.42578125" customWidth="1"/>
    <col min="13830" max="13830" width="11" customWidth="1"/>
    <col min="13832" max="13832" width="15.7109375" customWidth="1"/>
    <col min="13833" max="13833" width="10.85546875" customWidth="1"/>
    <col min="13834" max="13834" width="14" bestFit="1" customWidth="1"/>
    <col min="13835" max="13835" width="19.140625" customWidth="1"/>
    <col min="13837" max="13837" width="14.5703125" customWidth="1"/>
    <col min="13838" max="13838" width="13.7109375" customWidth="1"/>
    <col min="13839" max="13839" width="16.7109375" customWidth="1"/>
    <col min="13840" max="13840" width="17" customWidth="1"/>
    <col min="14084" max="14084" width="20.42578125" customWidth="1"/>
    <col min="14086" max="14086" width="11" customWidth="1"/>
    <col min="14088" max="14088" width="15.7109375" customWidth="1"/>
    <col min="14089" max="14089" width="10.85546875" customWidth="1"/>
    <col min="14090" max="14090" width="14" bestFit="1" customWidth="1"/>
    <col min="14091" max="14091" width="19.140625" customWidth="1"/>
    <col min="14093" max="14093" width="14.5703125" customWidth="1"/>
    <col min="14094" max="14094" width="13.7109375" customWidth="1"/>
    <col min="14095" max="14095" width="16.7109375" customWidth="1"/>
    <col min="14096" max="14096" width="17" customWidth="1"/>
    <col min="14340" max="14340" width="20.42578125" customWidth="1"/>
    <col min="14342" max="14342" width="11" customWidth="1"/>
    <col min="14344" max="14344" width="15.7109375" customWidth="1"/>
    <col min="14345" max="14345" width="10.85546875" customWidth="1"/>
    <col min="14346" max="14346" width="14" bestFit="1" customWidth="1"/>
    <col min="14347" max="14347" width="19.140625" customWidth="1"/>
    <col min="14349" max="14349" width="14.5703125" customWidth="1"/>
    <col min="14350" max="14350" width="13.7109375" customWidth="1"/>
    <col min="14351" max="14351" width="16.7109375" customWidth="1"/>
    <col min="14352" max="14352" width="17" customWidth="1"/>
    <col min="14596" max="14596" width="20.42578125" customWidth="1"/>
    <col min="14598" max="14598" width="11" customWidth="1"/>
    <col min="14600" max="14600" width="15.7109375" customWidth="1"/>
    <col min="14601" max="14601" width="10.85546875" customWidth="1"/>
    <col min="14602" max="14602" width="14" bestFit="1" customWidth="1"/>
    <col min="14603" max="14603" width="19.140625" customWidth="1"/>
    <col min="14605" max="14605" width="14.5703125" customWidth="1"/>
    <col min="14606" max="14606" width="13.7109375" customWidth="1"/>
    <col min="14607" max="14607" width="16.7109375" customWidth="1"/>
    <col min="14608" max="14608" width="17" customWidth="1"/>
    <col min="14852" max="14852" width="20.42578125" customWidth="1"/>
    <col min="14854" max="14854" width="11" customWidth="1"/>
    <col min="14856" max="14856" width="15.7109375" customWidth="1"/>
    <col min="14857" max="14857" width="10.85546875" customWidth="1"/>
    <col min="14858" max="14858" width="14" bestFit="1" customWidth="1"/>
    <col min="14859" max="14859" width="19.140625" customWidth="1"/>
    <col min="14861" max="14861" width="14.5703125" customWidth="1"/>
    <col min="14862" max="14862" width="13.7109375" customWidth="1"/>
    <col min="14863" max="14863" width="16.7109375" customWidth="1"/>
    <col min="14864" max="14864" width="17" customWidth="1"/>
    <col min="15108" max="15108" width="20.42578125" customWidth="1"/>
    <col min="15110" max="15110" width="11" customWidth="1"/>
    <col min="15112" max="15112" width="15.7109375" customWidth="1"/>
    <col min="15113" max="15113" width="10.85546875" customWidth="1"/>
    <col min="15114" max="15114" width="14" bestFit="1" customWidth="1"/>
    <col min="15115" max="15115" width="19.140625" customWidth="1"/>
    <col min="15117" max="15117" width="14.5703125" customWidth="1"/>
    <col min="15118" max="15118" width="13.7109375" customWidth="1"/>
    <col min="15119" max="15119" width="16.7109375" customWidth="1"/>
    <col min="15120" max="15120" width="17" customWidth="1"/>
    <col min="15364" max="15364" width="20.42578125" customWidth="1"/>
    <col min="15366" max="15366" width="11" customWidth="1"/>
    <col min="15368" max="15368" width="15.7109375" customWidth="1"/>
    <col min="15369" max="15369" width="10.85546875" customWidth="1"/>
    <col min="15370" max="15370" width="14" bestFit="1" customWidth="1"/>
    <col min="15371" max="15371" width="19.140625" customWidth="1"/>
    <col min="15373" max="15373" width="14.5703125" customWidth="1"/>
    <col min="15374" max="15374" width="13.7109375" customWidth="1"/>
    <col min="15375" max="15375" width="16.7109375" customWidth="1"/>
    <col min="15376" max="15376" width="17" customWidth="1"/>
    <col min="15620" max="15620" width="20.42578125" customWidth="1"/>
    <col min="15622" max="15622" width="11" customWidth="1"/>
    <col min="15624" max="15624" width="15.7109375" customWidth="1"/>
    <col min="15625" max="15625" width="10.85546875" customWidth="1"/>
    <col min="15626" max="15626" width="14" bestFit="1" customWidth="1"/>
    <col min="15627" max="15627" width="19.140625" customWidth="1"/>
    <col min="15629" max="15629" width="14.5703125" customWidth="1"/>
    <col min="15630" max="15630" width="13.7109375" customWidth="1"/>
    <col min="15631" max="15631" width="16.7109375" customWidth="1"/>
    <col min="15632" max="15632" width="17" customWidth="1"/>
    <col min="15876" max="15876" width="20.42578125" customWidth="1"/>
    <col min="15878" max="15878" width="11" customWidth="1"/>
    <col min="15880" max="15880" width="15.7109375" customWidth="1"/>
    <col min="15881" max="15881" width="10.85546875" customWidth="1"/>
    <col min="15882" max="15882" width="14" bestFit="1" customWidth="1"/>
    <col min="15883" max="15883" width="19.140625" customWidth="1"/>
    <col min="15885" max="15885" width="14.5703125" customWidth="1"/>
    <col min="15886" max="15886" width="13.7109375" customWidth="1"/>
    <col min="15887" max="15887" width="16.7109375" customWidth="1"/>
    <col min="15888" max="15888" width="17" customWidth="1"/>
    <col min="16132" max="16132" width="20.42578125" customWidth="1"/>
    <col min="16134" max="16134" width="11" customWidth="1"/>
    <col min="16136" max="16136" width="15.7109375" customWidth="1"/>
    <col min="16137" max="16137" width="10.85546875" customWidth="1"/>
    <col min="16138" max="16138" width="14" bestFit="1" customWidth="1"/>
    <col min="16139" max="16139" width="19.140625" customWidth="1"/>
    <col min="16141" max="16141" width="14.5703125" customWidth="1"/>
    <col min="16142" max="16142" width="13.7109375" customWidth="1"/>
    <col min="16143" max="16143" width="16.7109375" customWidth="1"/>
    <col min="16144" max="16144" width="17" customWidth="1"/>
  </cols>
  <sheetData>
    <row r="2" spans="1:25" ht="15.75" thickBot="1" x14ac:dyDescent="0.3">
      <c r="G2" s="31"/>
    </row>
    <row r="3" spans="1:25" ht="21" thickBot="1" x14ac:dyDescent="0.3">
      <c r="B3" s="637" t="s">
        <v>80</v>
      </c>
      <c r="C3" s="637"/>
      <c r="D3" s="465"/>
      <c r="E3" s="465"/>
      <c r="F3" s="20">
        <v>0</v>
      </c>
    </row>
    <row r="4" spans="1:25" ht="21" x14ac:dyDescent="0.25">
      <c r="Q4" s="561"/>
      <c r="R4" s="561"/>
      <c r="S4" s="561"/>
      <c r="T4" s="561"/>
      <c r="V4" s="561"/>
      <c r="W4" s="561"/>
      <c r="X4" s="561"/>
      <c r="Y4" s="561"/>
    </row>
    <row r="5" spans="1:25" ht="45" customHeight="1" thickBot="1" x14ac:dyDescent="0.3">
      <c r="E5" s="479" t="s">
        <v>216</v>
      </c>
    </row>
    <row r="6" spans="1:25" ht="38.25" customHeight="1" thickBot="1" x14ac:dyDescent="0.3">
      <c r="A6" s="21" t="s">
        <v>81</v>
      </c>
      <c r="B6" s="638" t="s">
        <v>82</v>
      </c>
      <c r="C6" s="639"/>
      <c r="D6" s="510" t="s">
        <v>107</v>
      </c>
      <c r="E6" s="481" t="s">
        <v>108</v>
      </c>
      <c r="G6" s="22" t="s">
        <v>83</v>
      </c>
      <c r="H6" s="23" t="s">
        <v>84</v>
      </c>
      <c r="I6" s="24" t="s">
        <v>85</v>
      </c>
      <c r="J6" s="25" t="s">
        <v>86</v>
      </c>
      <c r="L6" s="22" t="s">
        <v>87</v>
      </c>
      <c r="M6" s="23" t="s">
        <v>84</v>
      </c>
      <c r="N6" s="24" t="s">
        <v>85</v>
      </c>
      <c r="O6" s="25" t="s">
        <v>86</v>
      </c>
      <c r="Q6" s="32"/>
      <c r="R6" s="33"/>
      <c r="S6" s="34"/>
      <c r="T6" s="35"/>
      <c r="V6" s="32"/>
      <c r="W6" s="33"/>
      <c r="X6" s="34"/>
      <c r="Y6" s="35"/>
    </row>
    <row r="7" spans="1:25" x14ac:dyDescent="0.25">
      <c r="A7" s="313" t="s">
        <v>44</v>
      </c>
      <c r="B7" s="549">
        <f>'Cardápio CMEI Manhã 2017'!B162</f>
        <v>8</v>
      </c>
      <c r="C7" s="508" t="s">
        <v>88</v>
      </c>
      <c r="D7" s="508">
        <v>1</v>
      </c>
      <c r="E7" s="480">
        <f>B7*D7</f>
        <v>8</v>
      </c>
      <c r="G7" s="26">
        <f>E7*$F$3/400</f>
        <v>0</v>
      </c>
      <c r="H7" s="14" t="s">
        <v>38</v>
      </c>
      <c r="I7" s="29"/>
      <c r="J7" s="27">
        <f t="shared" ref="J7:J50" si="0">G7*I7</f>
        <v>0</v>
      </c>
      <c r="L7" s="28">
        <f t="shared" ref="L7:L50" si="1">G7*4</f>
        <v>0</v>
      </c>
      <c r="M7" s="14" t="s">
        <v>38</v>
      </c>
      <c r="N7" s="29"/>
      <c r="O7" s="27">
        <f t="shared" ref="O7:O50" si="2">L7*N7</f>
        <v>0</v>
      </c>
      <c r="Q7" s="2"/>
      <c r="R7" s="36"/>
      <c r="S7" s="37"/>
      <c r="T7" s="12"/>
      <c r="V7" s="2"/>
      <c r="W7" s="36"/>
      <c r="X7" s="37"/>
      <c r="Y7" s="12"/>
    </row>
    <row r="8" spans="1:25" x14ac:dyDescent="0.25">
      <c r="A8" s="7" t="s">
        <v>28</v>
      </c>
      <c r="B8" s="550">
        <f>'Cardápio CMEI Manhã 2017'!B68+'Cardápio CMEI Manhã 2017'!B164</f>
        <v>15</v>
      </c>
      <c r="C8" s="57" t="s">
        <v>88</v>
      </c>
      <c r="D8" s="57">
        <v>1</v>
      </c>
      <c r="E8" s="480">
        <f t="shared" ref="E8:E50" si="3">B8*D8</f>
        <v>15</v>
      </c>
      <c r="G8" s="26">
        <f>E8*$F$3/1000</f>
        <v>0</v>
      </c>
      <c r="H8" s="14" t="s">
        <v>25</v>
      </c>
      <c r="I8" s="29"/>
      <c r="J8" s="27">
        <f t="shared" si="0"/>
        <v>0</v>
      </c>
      <c r="L8" s="28">
        <f t="shared" si="1"/>
        <v>0</v>
      </c>
      <c r="M8" s="14" t="s">
        <v>25</v>
      </c>
      <c r="N8" s="29"/>
      <c r="O8" s="27">
        <f t="shared" si="2"/>
        <v>0</v>
      </c>
      <c r="Q8" s="10"/>
      <c r="R8" s="36"/>
      <c r="S8" s="37"/>
      <c r="T8" s="12"/>
      <c r="V8" s="10"/>
      <c r="W8" s="36"/>
      <c r="X8" s="37"/>
      <c r="Y8" s="12"/>
    </row>
    <row r="9" spans="1:25" x14ac:dyDescent="0.25">
      <c r="A9" s="3" t="s">
        <v>3</v>
      </c>
      <c r="B9" s="550">
        <f>'Cardápio CMEI Manhã 2017'!B47+'Cardápio CMEI Manhã 2017'!K47+'Cardápio CMEI Manhã 2017'!T49+'Cardápio CMEI Manhã 2017'!B76+'Cardápio CMEI Manhã 2017'!K76+'Cardápio CMEI Manhã 2017'!B109+'Cardápio CMEI Manhã 2017'!K109+'Cardápio CMEI Manhã 2017'!U110+'Cardápio CMEI Manhã 2017'!B140+'Cardápio CMEI Manhã 2017'!K138+'Cardápio CMEI Manhã 2017'!B175+'Cardápio CMEI Manhã 2017'!K182</f>
        <v>6</v>
      </c>
      <c r="C9" s="57" t="s">
        <v>88</v>
      </c>
      <c r="D9" s="57">
        <v>1.18</v>
      </c>
      <c r="E9" s="480">
        <f t="shared" si="3"/>
        <v>7.08</v>
      </c>
      <c r="G9" s="26">
        <f>E9*$F$3/1000</f>
        <v>0</v>
      </c>
      <c r="H9" s="14" t="s">
        <v>25</v>
      </c>
      <c r="I9" s="29"/>
      <c r="J9" s="27">
        <f t="shared" si="0"/>
        <v>0</v>
      </c>
      <c r="L9" s="28">
        <f t="shared" si="1"/>
        <v>0</v>
      </c>
      <c r="M9" s="14" t="s">
        <v>25</v>
      </c>
      <c r="N9" s="29"/>
      <c r="O9" s="27">
        <f t="shared" si="2"/>
        <v>0</v>
      </c>
      <c r="Q9" s="2"/>
      <c r="R9" s="36"/>
      <c r="S9" s="37"/>
      <c r="T9" s="12"/>
      <c r="V9" s="2"/>
      <c r="W9" s="36"/>
      <c r="X9" s="37"/>
      <c r="Y9" s="12"/>
    </row>
    <row r="10" spans="1:25" s="467" customFormat="1" x14ac:dyDescent="0.25">
      <c r="A10" s="3" t="s">
        <v>32</v>
      </c>
      <c r="B10" s="550">
        <f>'Cardápio CMEI Manhã 2017'!B54</f>
        <v>1</v>
      </c>
      <c r="C10" s="57" t="s">
        <v>88</v>
      </c>
      <c r="D10" s="57">
        <v>1</v>
      </c>
      <c r="E10" s="480">
        <f t="shared" si="3"/>
        <v>1</v>
      </c>
      <c r="G10" s="468">
        <f>E10*$F$3/200</f>
        <v>0</v>
      </c>
      <c r="H10" s="14" t="s">
        <v>89</v>
      </c>
      <c r="I10" s="394"/>
      <c r="J10" s="469">
        <f t="shared" si="0"/>
        <v>0</v>
      </c>
      <c r="L10" s="470">
        <f t="shared" si="1"/>
        <v>0</v>
      </c>
      <c r="M10" s="14" t="s">
        <v>89</v>
      </c>
      <c r="N10" s="394"/>
      <c r="O10" s="469">
        <f t="shared" si="2"/>
        <v>0</v>
      </c>
      <c r="Q10" s="2"/>
      <c r="R10" s="471"/>
      <c r="S10" s="472"/>
      <c r="T10" s="12"/>
      <c r="U10" s="473"/>
      <c r="V10" s="2"/>
      <c r="W10" s="471"/>
      <c r="X10" s="472"/>
      <c r="Y10" s="12"/>
    </row>
    <row r="11" spans="1:25" x14ac:dyDescent="0.25">
      <c r="A11" s="7" t="s">
        <v>49</v>
      </c>
      <c r="B11" s="550">
        <f>'Cardápio CMEI Manhã 2017'!K45+'Cardápio CMEI Manhã 2017'!K75+'Cardápio CMEI Manhã 2017'!K107+'Cardápio CMEI Manhã 2017'!K136+'Cardápio CMEI Manhã 2017'!K180</f>
        <v>100</v>
      </c>
      <c r="C11" s="57" t="s">
        <v>88</v>
      </c>
      <c r="D11" s="57">
        <v>1</v>
      </c>
      <c r="E11" s="480">
        <f t="shared" si="3"/>
        <v>100</v>
      </c>
      <c r="G11" s="26">
        <f t="shared" ref="G11:G16" si="4">E11*$F$3/1000</f>
        <v>0</v>
      </c>
      <c r="H11" s="14" t="s">
        <v>25</v>
      </c>
      <c r="I11" s="29"/>
      <c r="J11" s="27">
        <f t="shared" si="0"/>
        <v>0</v>
      </c>
      <c r="L11" s="28">
        <f t="shared" si="1"/>
        <v>0</v>
      </c>
      <c r="M11" s="14" t="s">
        <v>25</v>
      </c>
      <c r="N11" s="29"/>
      <c r="O11" s="27">
        <f t="shared" si="2"/>
        <v>0</v>
      </c>
      <c r="Q11" s="10"/>
      <c r="R11" s="36"/>
      <c r="S11" s="37"/>
      <c r="T11" s="12"/>
      <c r="V11" s="10"/>
      <c r="W11" s="36"/>
      <c r="X11" s="37"/>
      <c r="Y11" s="12"/>
    </row>
    <row r="12" spans="1:25" x14ac:dyDescent="0.25">
      <c r="A12" s="7" t="s">
        <v>63</v>
      </c>
      <c r="B12" s="550">
        <v>0</v>
      </c>
      <c r="C12" s="57" t="s">
        <v>88</v>
      </c>
      <c r="D12" s="57">
        <v>1</v>
      </c>
      <c r="E12" s="480">
        <f t="shared" si="3"/>
        <v>0</v>
      </c>
      <c r="G12" s="26">
        <f t="shared" si="4"/>
        <v>0</v>
      </c>
      <c r="H12" s="14" t="s">
        <v>25</v>
      </c>
      <c r="I12" s="29"/>
      <c r="J12" s="27">
        <f t="shared" si="0"/>
        <v>0</v>
      </c>
      <c r="L12" s="28">
        <f t="shared" si="1"/>
        <v>0</v>
      </c>
      <c r="M12" s="14" t="s">
        <v>25</v>
      </c>
      <c r="N12" s="29"/>
      <c r="O12" s="27">
        <f t="shared" si="2"/>
        <v>0</v>
      </c>
      <c r="Q12" s="10"/>
      <c r="R12" s="36"/>
      <c r="S12" s="37"/>
      <c r="T12" s="12"/>
      <c r="V12" s="10"/>
      <c r="W12" s="36"/>
      <c r="X12" s="37"/>
      <c r="Y12" s="12"/>
    </row>
    <row r="13" spans="1:25" x14ac:dyDescent="0.25">
      <c r="A13" s="7" t="s">
        <v>27</v>
      </c>
      <c r="B13" s="550">
        <f>'Cardápio CMEI Manhã 2017'!K54+'Cardápio CMEI Manhã 2017'!B66+'Cardápio CMEI Manhã 2017'!B97</f>
        <v>150</v>
      </c>
      <c r="C13" s="57" t="s">
        <v>88</v>
      </c>
      <c r="D13" s="57">
        <v>1.55</v>
      </c>
      <c r="E13" s="480">
        <f t="shared" si="3"/>
        <v>232.5</v>
      </c>
      <c r="G13" s="26">
        <f t="shared" si="4"/>
        <v>0</v>
      </c>
      <c r="H13" s="14" t="s">
        <v>25</v>
      </c>
      <c r="I13" s="29"/>
      <c r="J13" s="27">
        <f t="shared" si="0"/>
        <v>0</v>
      </c>
      <c r="L13" s="28">
        <f t="shared" si="1"/>
        <v>0</v>
      </c>
      <c r="M13" s="14" t="s">
        <v>25</v>
      </c>
      <c r="N13" s="29"/>
      <c r="O13" s="27">
        <f t="shared" si="2"/>
        <v>0</v>
      </c>
      <c r="Q13" s="10"/>
      <c r="R13" s="36"/>
      <c r="S13" s="37"/>
      <c r="T13" s="12"/>
      <c r="V13" s="10"/>
      <c r="W13" s="36"/>
      <c r="X13" s="37"/>
      <c r="Y13" s="12"/>
    </row>
    <row r="14" spans="1:25" x14ac:dyDescent="0.25">
      <c r="A14" s="3" t="s">
        <v>65</v>
      </c>
      <c r="B14" s="550">
        <f>'Cardápio CMEI Manhã 2017'!B85</f>
        <v>25</v>
      </c>
      <c r="C14" s="57" t="s">
        <v>88</v>
      </c>
      <c r="D14" s="57">
        <v>1.21</v>
      </c>
      <c r="E14" s="480">
        <f t="shared" si="3"/>
        <v>30.25</v>
      </c>
      <c r="G14" s="26">
        <f t="shared" si="4"/>
        <v>0</v>
      </c>
      <c r="H14" s="14" t="s">
        <v>25</v>
      </c>
      <c r="I14" s="29"/>
      <c r="J14" s="27">
        <f t="shared" si="0"/>
        <v>0</v>
      </c>
      <c r="L14" s="28">
        <f t="shared" si="1"/>
        <v>0</v>
      </c>
      <c r="M14" s="14" t="s">
        <v>25</v>
      </c>
      <c r="N14" s="29"/>
      <c r="O14" s="27">
        <f t="shared" si="2"/>
        <v>0</v>
      </c>
      <c r="Q14" s="2"/>
      <c r="R14" s="36"/>
      <c r="S14" s="37"/>
      <c r="T14" s="12"/>
      <c r="V14" s="2"/>
      <c r="W14" s="36"/>
      <c r="X14" s="37"/>
      <c r="Y14" s="12"/>
    </row>
    <row r="15" spans="1:25" x14ac:dyDescent="0.25">
      <c r="A15" s="3" t="s">
        <v>52</v>
      </c>
      <c r="B15" s="550">
        <f>'Cardápio CMEI Manhã 2017'!T46+'Cardápio CMEI Manhã 2017'!U109+'Cardápio CMEI Manhã 2017'!B145</f>
        <v>40</v>
      </c>
      <c r="C15" s="57" t="s">
        <v>88</v>
      </c>
      <c r="D15" s="57">
        <v>1.1599999999999999</v>
      </c>
      <c r="E15" s="480">
        <f t="shared" si="3"/>
        <v>46.4</v>
      </c>
      <c r="G15" s="26">
        <f t="shared" si="4"/>
        <v>0</v>
      </c>
      <c r="H15" s="14" t="s">
        <v>25</v>
      </c>
      <c r="I15" s="29"/>
      <c r="J15" s="27">
        <f t="shared" si="0"/>
        <v>0</v>
      </c>
      <c r="L15" s="28">
        <f t="shared" si="1"/>
        <v>0</v>
      </c>
      <c r="M15" s="14" t="s">
        <v>25</v>
      </c>
      <c r="N15" s="29"/>
      <c r="O15" s="27">
        <f t="shared" si="2"/>
        <v>0</v>
      </c>
      <c r="Q15" s="2"/>
      <c r="R15" s="36"/>
      <c r="S15" s="37"/>
      <c r="T15" s="12"/>
      <c r="V15" s="2"/>
      <c r="W15" s="36"/>
      <c r="X15" s="37"/>
      <c r="Y15" s="12"/>
    </row>
    <row r="16" spans="1:25" x14ac:dyDescent="0.25">
      <c r="A16" s="6" t="s">
        <v>48</v>
      </c>
      <c r="B16" s="550">
        <f>'Cardápio CMEI Manhã 2017'!B128</f>
        <v>150</v>
      </c>
      <c r="C16" s="57" t="s">
        <v>90</v>
      </c>
      <c r="D16" s="57">
        <v>1</v>
      </c>
      <c r="E16" s="480">
        <f t="shared" si="3"/>
        <v>150</v>
      </c>
      <c r="G16" s="26">
        <f t="shared" si="4"/>
        <v>0</v>
      </c>
      <c r="H16" s="14" t="s">
        <v>37</v>
      </c>
      <c r="I16" s="29"/>
      <c r="J16" s="27">
        <f>G16*I16</f>
        <v>0</v>
      </c>
      <c r="L16" s="28">
        <f>G16*4</f>
        <v>0</v>
      </c>
      <c r="M16" s="14" t="s">
        <v>37</v>
      </c>
      <c r="N16" s="29"/>
      <c r="O16" s="27">
        <f>L16*N16</f>
        <v>0</v>
      </c>
      <c r="Q16" s="13"/>
      <c r="R16" s="36"/>
      <c r="S16" s="37"/>
      <c r="T16" s="12"/>
      <c r="V16" s="13"/>
      <c r="W16" s="36"/>
      <c r="X16" s="37"/>
      <c r="Y16" s="12"/>
    </row>
    <row r="17" spans="1:25" ht="15" customHeight="1" x14ac:dyDescent="0.25">
      <c r="A17" s="3" t="s">
        <v>202</v>
      </c>
      <c r="B17" s="550">
        <f>'Cardápio CMEI Manhã 2017'!K162</f>
        <v>21</v>
      </c>
      <c r="C17" s="57" t="s">
        <v>88</v>
      </c>
      <c r="D17" s="57">
        <v>1</v>
      </c>
      <c r="E17" s="480">
        <f t="shared" si="3"/>
        <v>21</v>
      </c>
      <c r="G17" s="26">
        <f>E17*$F$3/400</f>
        <v>0</v>
      </c>
      <c r="H17" s="14" t="s">
        <v>203</v>
      </c>
      <c r="I17" s="29"/>
      <c r="J17" s="27">
        <f t="shared" ref="J17:J18" si="5">G17*I17</f>
        <v>0</v>
      </c>
      <c r="L17" s="28">
        <f t="shared" ref="L17:L18" si="6">G17*4</f>
        <v>0</v>
      </c>
      <c r="M17" s="14" t="s">
        <v>204</v>
      </c>
      <c r="N17" s="29"/>
      <c r="O17" s="27">
        <f t="shared" ref="O17:O18" si="7">L17*N17</f>
        <v>0</v>
      </c>
    </row>
    <row r="18" spans="1:25" ht="15" customHeight="1" x14ac:dyDescent="0.25">
      <c r="A18" s="3" t="s">
        <v>198</v>
      </c>
      <c r="B18" s="550">
        <f>'Cardápio CMEI Manhã 2017'!K128</f>
        <v>15</v>
      </c>
      <c r="C18" s="57" t="s">
        <v>88</v>
      </c>
      <c r="D18" s="57">
        <v>1</v>
      </c>
      <c r="E18" s="480">
        <f t="shared" si="3"/>
        <v>15</v>
      </c>
      <c r="G18" s="26">
        <f>E18*$F$3/400</f>
        <v>0</v>
      </c>
      <c r="H18" s="14" t="s">
        <v>203</v>
      </c>
      <c r="I18" s="29"/>
      <c r="J18" s="27">
        <f t="shared" si="5"/>
        <v>0</v>
      </c>
      <c r="L18" s="28">
        <f t="shared" si="6"/>
        <v>0</v>
      </c>
      <c r="M18" s="14" t="s">
        <v>204</v>
      </c>
      <c r="N18" s="29"/>
      <c r="O18" s="27">
        <f t="shared" si="7"/>
        <v>0</v>
      </c>
    </row>
    <row r="19" spans="1:25" x14ac:dyDescent="0.25">
      <c r="A19" s="3" t="s">
        <v>143</v>
      </c>
      <c r="B19" s="550">
        <f>'Cardápio CMEI Manhã 2017'!B172</f>
        <v>25</v>
      </c>
      <c r="C19" s="57" t="s">
        <v>88</v>
      </c>
      <c r="D19" s="57">
        <v>1.1399999999999999</v>
      </c>
      <c r="E19" s="480">
        <f t="shared" si="3"/>
        <v>28.499999999999996</v>
      </c>
      <c r="G19" s="26">
        <f t="shared" ref="G19:G23" si="8">E19*$F$3/1000</f>
        <v>0</v>
      </c>
      <c r="H19" s="14" t="s">
        <v>25</v>
      </c>
      <c r="I19" s="29"/>
      <c r="J19" s="27">
        <f t="shared" si="0"/>
        <v>0</v>
      </c>
      <c r="L19" s="28">
        <f t="shared" si="1"/>
        <v>0</v>
      </c>
      <c r="M19" s="14" t="s">
        <v>25</v>
      </c>
      <c r="N19" s="29"/>
      <c r="O19" s="27">
        <f t="shared" si="2"/>
        <v>0</v>
      </c>
      <c r="Q19" s="2"/>
      <c r="R19" s="36"/>
      <c r="S19" s="37"/>
      <c r="T19" s="12"/>
      <c r="V19" s="2"/>
      <c r="W19" s="36"/>
      <c r="X19" s="37"/>
      <c r="Y19" s="12"/>
    </row>
    <row r="20" spans="1:25" x14ac:dyDescent="0.25">
      <c r="A20" s="3" t="s">
        <v>106</v>
      </c>
      <c r="B20" s="550">
        <v>0</v>
      </c>
      <c r="C20" s="57" t="s">
        <v>88</v>
      </c>
      <c r="D20" s="57">
        <v>1</v>
      </c>
      <c r="E20" s="480">
        <f t="shared" si="3"/>
        <v>0</v>
      </c>
      <c r="G20" s="26">
        <f t="shared" si="8"/>
        <v>0</v>
      </c>
      <c r="H20" s="14" t="s">
        <v>25</v>
      </c>
      <c r="I20" s="29"/>
      <c r="J20" s="27">
        <f t="shared" si="0"/>
        <v>0</v>
      </c>
      <c r="L20" s="28">
        <f t="shared" si="1"/>
        <v>0</v>
      </c>
      <c r="M20" s="14" t="s">
        <v>25</v>
      </c>
      <c r="N20" s="29"/>
      <c r="O20" s="27">
        <f t="shared" si="2"/>
        <v>0</v>
      </c>
      <c r="Q20" s="2"/>
      <c r="R20" s="36"/>
      <c r="S20" s="37"/>
      <c r="T20" s="12"/>
      <c r="V20" s="2"/>
      <c r="W20" s="36"/>
      <c r="X20" s="37"/>
      <c r="Y20" s="12"/>
    </row>
    <row r="21" spans="1:25" x14ac:dyDescent="0.25">
      <c r="A21" s="3" t="s">
        <v>2</v>
      </c>
      <c r="B21" s="550">
        <f>'Cardápio CMEI Manhã 2017'!B46+'Cardápio CMEI Manhã 2017'!K48+'Cardápio CMEI Manhã 2017'!T48+'Cardápio CMEI Manhã 2017'!B77+'Cardápio CMEI Manhã 2017'!K77+'Cardápio CMEI Manhã 2017'!B108+'Cardápio CMEI Manhã 2017'!K110+'Cardápio CMEI Manhã 2017'!U112+'Cardápio CMEI Manhã 2017'!B137+'Cardápio CMEI Manhã 2017'!K139+'Cardápio CMEI Manhã 2017'!K173+'Cardápio CMEI Manhã 2017'!K183+'Cardápio CMEI Manhã 2017'!B176</f>
        <v>52</v>
      </c>
      <c r="C21" s="57" t="s">
        <v>88</v>
      </c>
      <c r="D21" s="57">
        <v>1.08</v>
      </c>
      <c r="E21" s="480">
        <f t="shared" si="3"/>
        <v>56.160000000000004</v>
      </c>
      <c r="G21" s="26">
        <f t="shared" si="8"/>
        <v>0</v>
      </c>
      <c r="H21" s="14" t="s">
        <v>25</v>
      </c>
      <c r="I21" s="29"/>
      <c r="J21" s="27">
        <f t="shared" si="0"/>
        <v>0</v>
      </c>
      <c r="L21" s="28">
        <f t="shared" si="1"/>
        <v>0</v>
      </c>
      <c r="M21" s="14" t="s">
        <v>25</v>
      </c>
      <c r="N21" s="29"/>
      <c r="O21" s="27">
        <f t="shared" si="2"/>
        <v>0</v>
      </c>
      <c r="Q21" s="2"/>
      <c r="R21" s="36"/>
      <c r="S21" s="37"/>
      <c r="T21" s="12"/>
      <c r="V21" s="2"/>
      <c r="W21" s="36"/>
      <c r="X21" s="37"/>
      <c r="Y21" s="12"/>
    </row>
    <row r="22" spans="1:25" x14ac:dyDescent="0.25">
      <c r="A22" s="3" t="s">
        <v>7</v>
      </c>
      <c r="B22" s="550">
        <f>'Cardápio CMEI Manhã 2017'!K175</f>
        <v>5</v>
      </c>
      <c r="C22" s="57" t="s">
        <v>88</v>
      </c>
      <c r="D22" s="57">
        <v>1.18</v>
      </c>
      <c r="E22" s="480">
        <f t="shared" si="3"/>
        <v>5.8999999999999995</v>
      </c>
      <c r="G22" s="26">
        <f t="shared" si="8"/>
        <v>0</v>
      </c>
      <c r="H22" s="14" t="s">
        <v>25</v>
      </c>
      <c r="I22" s="29"/>
      <c r="J22" s="27">
        <f t="shared" si="0"/>
        <v>0</v>
      </c>
      <c r="L22" s="28">
        <f t="shared" si="1"/>
        <v>0</v>
      </c>
      <c r="M22" s="14" t="s">
        <v>25</v>
      </c>
      <c r="N22" s="29"/>
      <c r="O22" s="27">
        <f t="shared" si="2"/>
        <v>0</v>
      </c>
      <c r="Q22" s="2"/>
      <c r="R22" s="36"/>
      <c r="S22" s="37"/>
      <c r="T22" s="12"/>
      <c r="V22" s="2"/>
      <c r="W22" s="36"/>
      <c r="X22" s="37"/>
      <c r="Y22" s="12"/>
    </row>
    <row r="23" spans="1:25" x14ac:dyDescent="0.25">
      <c r="A23" s="7" t="s">
        <v>8</v>
      </c>
      <c r="B23" s="550">
        <v>0</v>
      </c>
      <c r="C23" s="57" t="s">
        <v>88</v>
      </c>
      <c r="D23" s="57">
        <v>1.61</v>
      </c>
      <c r="E23" s="480">
        <f t="shared" si="3"/>
        <v>0</v>
      </c>
      <c r="G23" s="26">
        <f t="shared" si="8"/>
        <v>0</v>
      </c>
      <c r="H23" s="14" t="s">
        <v>25</v>
      </c>
      <c r="I23" s="29"/>
      <c r="J23" s="27">
        <f t="shared" si="0"/>
        <v>0</v>
      </c>
      <c r="L23" s="28">
        <f t="shared" si="1"/>
        <v>0</v>
      </c>
      <c r="M23" s="14" t="s">
        <v>25</v>
      </c>
      <c r="N23" s="29"/>
      <c r="O23" s="27">
        <f t="shared" si="2"/>
        <v>0</v>
      </c>
      <c r="Q23" s="10"/>
      <c r="R23" s="36"/>
      <c r="S23" s="37"/>
      <c r="T23" s="12"/>
      <c r="V23" s="10"/>
      <c r="W23" s="36"/>
      <c r="X23" s="37"/>
      <c r="Y23" s="12"/>
    </row>
    <row r="24" spans="1:25" x14ac:dyDescent="0.25">
      <c r="A24" s="3" t="s">
        <v>12</v>
      </c>
      <c r="B24" s="550">
        <f>'Cardápio CMEI Manhã 2017'!T53+'Cardápio CMEI Manhã 2017'!U114</f>
        <v>0.8</v>
      </c>
      <c r="C24" s="57" t="s">
        <v>88</v>
      </c>
      <c r="D24" s="57">
        <v>1.35</v>
      </c>
      <c r="E24" s="480">
        <f t="shared" si="3"/>
        <v>1.08</v>
      </c>
      <c r="G24" s="26">
        <f>E24*$F$3/30</f>
        <v>0</v>
      </c>
      <c r="H24" s="14" t="s">
        <v>39</v>
      </c>
      <c r="I24" s="29"/>
      <c r="J24" s="27">
        <f t="shared" si="0"/>
        <v>0</v>
      </c>
      <c r="L24" s="28">
        <f t="shared" si="1"/>
        <v>0</v>
      </c>
      <c r="M24" s="14" t="s">
        <v>39</v>
      </c>
      <c r="N24" s="29"/>
      <c r="O24" s="27">
        <f t="shared" si="2"/>
        <v>0</v>
      </c>
      <c r="Q24" s="2"/>
      <c r="R24" s="36"/>
      <c r="S24" s="37"/>
      <c r="T24" s="12"/>
      <c r="V24" s="2"/>
      <c r="W24" s="36"/>
      <c r="X24" s="37"/>
      <c r="Y24" s="12"/>
    </row>
    <row r="25" spans="1:25" x14ac:dyDescent="0.25">
      <c r="A25" s="7" t="s">
        <v>6</v>
      </c>
      <c r="B25" s="550">
        <f>'Cardápio CMEI Manhã 2017'!B48+'Cardápio CMEI Manhã 2017'!B110+'Cardápio CMEI Manhã 2017'!B143</f>
        <v>2.0999999999999996</v>
      </c>
      <c r="C25" s="57" t="s">
        <v>88</v>
      </c>
      <c r="D25" s="57">
        <v>1</v>
      </c>
      <c r="E25" s="480">
        <f t="shared" si="3"/>
        <v>2.0999999999999996</v>
      </c>
      <c r="G25" s="26">
        <f>E25*$F$3/100</f>
        <v>0</v>
      </c>
      <c r="H25" s="5" t="s">
        <v>36</v>
      </c>
      <c r="I25" s="29"/>
      <c r="J25" s="27">
        <f t="shared" si="0"/>
        <v>0</v>
      </c>
      <c r="L25" s="28">
        <f t="shared" si="1"/>
        <v>0</v>
      </c>
      <c r="M25" s="5" t="s">
        <v>36</v>
      </c>
      <c r="N25" s="29"/>
      <c r="O25" s="27">
        <f t="shared" si="2"/>
        <v>0</v>
      </c>
      <c r="Q25" s="10"/>
      <c r="R25" s="36"/>
      <c r="S25" s="37"/>
      <c r="T25" s="11"/>
      <c r="V25" s="10"/>
      <c r="W25" s="36"/>
      <c r="X25" s="37"/>
      <c r="Y25" s="11"/>
    </row>
    <row r="26" spans="1:25" x14ac:dyDescent="0.25">
      <c r="A26" s="7" t="s">
        <v>73</v>
      </c>
      <c r="B26" s="550">
        <f>'Cardápio CMEI Manhã 2017'!B173</f>
        <v>2</v>
      </c>
      <c r="C26" s="57" t="s">
        <v>88</v>
      </c>
      <c r="D26" s="57">
        <v>1.48</v>
      </c>
      <c r="E26" s="480">
        <f t="shared" si="3"/>
        <v>2.96</v>
      </c>
      <c r="G26" s="26">
        <f>E26*$F$3/1000</f>
        <v>0</v>
      </c>
      <c r="H26" s="14" t="s">
        <v>25</v>
      </c>
      <c r="I26" s="29"/>
      <c r="J26" s="27">
        <f t="shared" si="0"/>
        <v>0</v>
      </c>
      <c r="L26" s="28">
        <f t="shared" si="1"/>
        <v>0</v>
      </c>
      <c r="M26" s="14" t="s">
        <v>25</v>
      </c>
      <c r="N26" s="29"/>
      <c r="O26" s="27">
        <f t="shared" si="2"/>
        <v>0</v>
      </c>
      <c r="Q26" s="10"/>
      <c r="R26" s="36"/>
      <c r="S26" s="37"/>
      <c r="T26" s="12"/>
      <c r="V26" s="10"/>
      <c r="W26" s="36"/>
      <c r="X26" s="37"/>
      <c r="Y26" s="12"/>
    </row>
    <row r="27" spans="1:25" x14ac:dyDescent="0.25">
      <c r="A27" s="6" t="s">
        <v>64</v>
      </c>
      <c r="B27" s="550">
        <f>'Cardápio CMEI Manhã 2017'!K171</f>
        <v>10</v>
      </c>
      <c r="C27" s="57" t="s">
        <v>88</v>
      </c>
      <c r="D27" s="57">
        <v>1</v>
      </c>
      <c r="E27" s="480">
        <f t="shared" si="3"/>
        <v>10</v>
      </c>
      <c r="G27" s="26">
        <f>E27*$F$3/1000</f>
        <v>0</v>
      </c>
      <c r="H27" s="14" t="s">
        <v>25</v>
      </c>
      <c r="I27" s="29"/>
      <c r="J27" s="27">
        <f t="shared" si="0"/>
        <v>0</v>
      </c>
      <c r="L27" s="28">
        <f t="shared" si="1"/>
        <v>0</v>
      </c>
      <c r="M27" s="14" t="s">
        <v>25</v>
      </c>
      <c r="N27" s="29"/>
      <c r="O27" s="27">
        <f t="shared" si="2"/>
        <v>0</v>
      </c>
      <c r="Q27" s="13"/>
      <c r="R27" s="36"/>
      <c r="S27" s="37"/>
      <c r="T27" s="12"/>
      <c r="V27" s="13"/>
      <c r="W27" s="36"/>
      <c r="X27" s="37"/>
      <c r="Y27" s="12"/>
    </row>
    <row r="28" spans="1:25" x14ac:dyDescent="0.25">
      <c r="A28" s="3" t="s">
        <v>41</v>
      </c>
      <c r="B28" s="550">
        <f>'Cardápio CMEI Manhã 2017'!T45</f>
        <v>15</v>
      </c>
      <c r="C28" s="57" t="s">
        <v>88</v>
      </c>
      <c r="D28" s="57">
        <v>1</v>
      </c>
      <c r="E28" s="480">
        <f t="shared" si="3"/>
        <v>15</v>
      </c>
      <c r="G28" s="26">
        <f>E28*$F$3/1000</f>
        <v>0</v>
      </c>
      <c r="H28" s="14" t="s">
        <v>25</v>
      </c>
      <c r="I28" s="29"/>
      <c r="J28" s="27">
        <f t="shared" si="0"/>
        <v>0</v>
      </c>
      <c r="L28" s="28">
        <f t="shared" si="1"/>
        <v>0</v>
      </c>
      <c r="M28" s="14" t="s">
        <v>25</v>
      </c>
      <c r="N28" s="29"/>
      <c r="O28" s="27">
        <f t="shared" si="2"/>
        <v>0</v>
      </c>
      <c r="Q28" s="2"/>
      <c r="R28" s="36"/>
      <c r="S28" s="37"/>
      <c r="T28" s="12"/>
      <c r="V28" s="2"/>
      <c r="W28" s="36"/>
      <c r="X28" s="37"/>
      <c r="Y28" s="12"/>
    </row>
    <row r="29" spans="1:25" x14ac:dyDescent="0.25">
      <c r="A29" s="3" t="s">
        <v>50</v>
      </c>
      <c r="B29" s="550">
        <f>'Cardápio CMEI Manhã 2017'!U107+'Cardápio CMEI Manhã 2017'!B171</f>
        <v>30</v>
      </c>
      <c r="C29" s="57" t="s">
        <v>88</v>
      </c>
      <c r="D29" s="57">
        <v>1</v>
      </c>
      <c r="E29" s="480">
        <f t="shared" si="3"/>
        <v>30</v>
      </c>
      <c r="G29" s="26">
        <f>E29*$F$3/1000</f>
        <v>0</v>
      </c>
      <c r="H29" s="14" t="s">
        <v>25</v>
      </c>
      <c r="I29" s="29"/>
      <c r="J29" s="27">
        <f t="shared" si="0"/>
        <v>0</v>
      </c>
      <c r="L29" s="28">
        <f t="shared" si="1"/>
        <v>0</v>
      </c>
      <c r="M29" s="14" t="s">
        <v>25</v>
      </c>
      <c r="N29" s="29"/>
      <c r="O29" s="27">
        <f t="shared" si="2"/>
        <v>0</v>
      </c>
      <c r="Q29" s="2"/>
      <c r="R29" s="36"/>
      <c r="S29" s="37"/>
      <c r="T29" s="12"/>
      <c r="V29" s="2"/>
      <c r="W29" s="36"/>
      <c r="X29" s="37"/>
      <c r="Y29" s="12"/>
    </row>
    <row r="30" spans="1:25" x14ac:dyDescent="0.25">
      <c r="A30" s="6" t="s">
        <v>55</v>
      </c>
      <c r="B30" s="550">
        <f>'Cardápio CMEI Manhã 2017'!B35</f>
        <v>35</v>
      </c>
      <c r="C30" s="57" t="s">
        <v>88</v>
      </c>
      <c r="D30" s="57">
        <v>1</v>
      </c>
      <c r="E30" s="480">
        <f t="shared" si="3"/>
        <v>35</v>
      </c>
      <c r="G30" s="26">
        <f>E30*$F$3/500</f>
        <v>0</v>
      </c>
      <c r="H30" s="14" t="s">
        <v>56</v>
      </c>
      <c r="I30" s="29"/>
      <c r="J30" s="27">
        <f t="shared" si="0"/>
        <v>0</v>
      </c>
      <c r="L30" s="28">
        <f>G30*4</f>
        <v>0</v>
      </c>
      <c r="M30" s="14" t="s">
        <v>56</v>
      </c>
      <c r="N30" s="29"/>
      <c r="O30" s="27">
        <f t="shared" si="2"/>
        <v>0</v>
      </c>
      <c r="Q30" s="13"/>
      <c r="R30" s="36"/>
      <c r="S30" s="37"/>
      <c r="T30" s="12"/>
      <c r="V30" s="13"/>
      <c r="W30" s="36"/>
      <c r="X30" s="37"/>
      <c r="Y30" s="12"/>
    </row>
    <row r="31" spans="1:25" x14ac:dyDescent="0.25">
      <c r="A31" s="3" t="s">
        <v>11</v>
      </c>
      <c r="B31" s="550">
        <f>'Cardápio CMEI Manhã 2017'!T47+'Cardápio CMEI Manhã 2017'!U108</f>
        <v>37</v>
      </c>
      <c r="C31" s="57" t="s">
        <v>88</v>
      </c>
      <c r="D31" s="57">
        <v>1.35</v>
      </c>
      <c r="E31" s="480">
        <f t="shared" si="3"/>
        <v>49.95</v>
      </c>
      <c r="G31" s="26">
        <f>E31*$F$3/1000</f>
        <v>0</v>
      </c>
      <c r="H31" s="14" t="s">
        <v>25</v>
      </c>
      <c r="I31" s="29"/>
      <c r="J31" s="27">
        <f t="shared" si="0"/>
        <v>0</v>
      </c>
      <c r="L31" s="28">
        <f t="shared" si="1"/>
        <v>0</v>
      </c>
      <c r="M31" s="14" t="s">
        <v>25</v>
      </c>
      <c r="N31" s="29"/>
      <c r="O31" s="27">
        <f t="shared" si="2"/>
        <v>0</v>
      </c>
      <c r="Q31" s="10"/>
      <c r="R31" s="36"/>
      <c r="S31" s="37"/>
      <c r="T31" s="12"/>
      <c r="V31" s="10"/>
      <c r="W31" s="36"/>
      <c r="X31" s="37"/>
      <c r="Y31" s="12"/>
    </row>
    <row r="32" spans="1:25" x14ac:dyDescent="0.25">
      <c r="A32" s="3" t="s">
        <v>69</v>
      </c>
      <c r="B32" s="550">
        <f>'Cardápio CMEI Manhã 2017'!B98+'Cardápio CMEI Manhã 2017'!B184</f>
        <v>110</v>
      </c>
      <c r="C32" s="57" t="s">
        <v>88</v>
      </c>
      <c r="D32" s="57">
        <v>1.56</v>
      </c>
      <c r="E32" s="480">
        <f t="shared" si="3"/>
        <v>171.6</v>
      </c>
      <c r="G32" s="26">
        <f>E32*$F$3/1000</f>
        <v>0</v>
      </c>
      <c r="H32" s="14" t="s">
        <v>25</v>
      </c>
      <c r="I32" s="29"/>
      <c r="J32" s="27">
        <f t="shared" si="0"/>
        <v>0</v>
      </c>
      <c r="L32" s="28">
        <f t="shared" si="1"/>
        <v>0</v>
      </c>
      <c r="M32" s="14" t="s">
        <v>25</v>
      </c>
      <c r="N32" s="29"/>
      <c r="O32" s="27">
        <f t="shared" si="2"/>
        <v>0</v>
      </c>
      <c r="Q32" s="2"/>
      <c r="R32" s="36"/>
      <c r="S32" s="37"/>
      <c r="T32" s="12"/>
      <c r="V32" s="2"/>
      <c r="W32" s="36"/>
      <c r="X32" s="37"/>
      <c r="Y32" s="12"/>
    </row>
    <row r="33" spans="1:25" x14ac:dyDescent="0.25">
      <c r="A33" s="6" t="s">
        <v>26</v>
      </c>
      <c r="B33" s="550">
        <f>'Cardápio CMEI Manhã 2017'!B53+'Cardápio CMEI Manhã 2017'!B67+'Cardápio CMEI Manhã 2017'!B163</f>
        <v>29</v>
      </c>
      <c r="C33" s="57" t="s">
        <v>88</v>
      </c>
      <c r="D33" s="57">
        <v>1</v>
      </c>
      <c r="E33" s="480">
        <f t="shared" si="3"/>
        <v>29</v>
      </c>
      <c r="G33" s="26">
        <f>E33*$F$3/400</f>
        <v>0</v>
      </c>
      <c r="H33" s="14" t="s">
        <v>161</v>
      </c>
      <c r="I33" s="29"/>
      <c r="J33" s="27">
        <f t="shared" si="0"/>
        <v>0</v>
      </c>
      <c r="L33" s="28">
        <f t="shared" si="1"/>
        <v>0</v>
      </c>
      <c r="M33" s="14" t="s">
        <v>161</v>
      </c>
      <c r="N33" s="29"/>
      <c r="O33" s="27">
        <f t="shared" si="2"/>
        <v>0</v>
      </c>
      <c r="Q33" s="13"/>
      <c r="R33" s="36"/>
      <c r="S33" s="37"/>
      <c r="T33" s="12"/>
      <c r="V33" s="13"/>
      <c r="W33" s="36"/>
      <c r="X33" s="37"/>
      <c r="Y33" s="12"/>
    </row>
    <row r="34" spans="1:25" x14ac:dyDescent="0.25">
      <c r="A34" s="6" t="s">
        <v>30</v>
      </c>
      <c r="B34" s="550">
        <v>0</v>
      </c>
      <c r="C34" s="57" t="s">
        <v>88</v>
      </c>
      <c r="D34" s="57">
        <v>1</v>
      </c>
      <c r="E34" s="480">
        <f t="shared" si="3"/>
        <v>0</v>
      </c>
      <c r="G34" s="26">
        <f>E34*$F$3/500</f>
        <v>0</v>
      </c>
      <c r="H34" s="14" t="s">
        <v>56</v>
      </c>
      <c r="I34" s="29"/>
      <c r="J34" s="27">
        <f t="shared" si="0"/>
        <v>0</v>
      </c>
      <c r="L34" s="28">
        <f t="shared" si="1"/>
        <v>0</v>
      </c>
      <c r="M34" s="14" t="s">
        <v>56</v>
      </c>
      <c r="N34" s="29"/>
      <c r="O34" s="27">
        <f t="shared" si="2"/>
        <v>0</v>
      </c>
      <c r="Q34" s="13"/>
      <c r="R34" s="36"/>
      <c r="S34" s="37"/>
      <c r="T34" s="12"/>
      <c r="V34" s="13"/>
      <c r="W34" s="36"/>
      <c r="X34" s="37"/>
      <c r="Y34" s="12"/>
    </row>
    <row r="35" spans="1:25" x14ac:dyDescent="0.25">
      <c r="A35" s="6" t="s">
        <v>119</v>
      </c>
      <c r="B35" s="550">
        <f>'Cardápio CMEI Manhã 2017'!B152</f>
        <v>25</v>
      </c>
      <c r="C35" s="57" t="s">
        <v>88</v>
      </c>
      <c r="D35" s="57">
        <v>1.31</v>
      </c>
      <c r="E35" s="480">
        <f t="shared" si="3"/>
        <v>32.75</v>
      </c>
      <c r="G35" s="26">
        <f>E35*$F$3/1000</f>
        <v>0</v>
      </c>
      <c r="H35" s="14" t="s">
        <v>25</v>
      </c>
      <c r="I35" s="29"/>
      <c r="J35" s="27">
        <f t="shared" si="0"/>
        <v>0</v>
      </c>
      <c r="L35" s="28">
        <f t="shared" si="1"/>
        <v>0</v>
      </c>
      <c r="M35" s="14" t="s">
        <v>25</v>
      </c>
      <c r="N35" s="29"/>
      <c r="O35" s="27">
        <f t="shared" si="2"/>
        <v>0</v>
      </c>
      <c r="Q35" s="13"/>
      <c r="R35" s="36"/>
      <c r="S35" s="37"/>
      <c r="T35" s="12"/>
      <c r="V35" s="13"/>
      <c r="W35" s="36"/>
      <c r="X35" s="37"/>
      <c r="Y35" s="12"/>
    </row>
    <row r="36" spans="1:25" x14ac:dyDescent="0.25">
      <c r="A36" s="3" t="s">
        <v>31</v>
      </c>
      <c r="B36" s="550">
        <f>'Cardápio CMEI Manhã 2017'!B99</f>
        <v>60</v>
      </c>
      <c r="C36" s="57" t="s">
        <v>88</v>
      </c>
      <c r="D36" s="57">
        <v>1.6</v>
      </c>
      <c r="E36" s="480">
        <f t="shared" si="3"/>
        <v>96</v>
      </c>
      <c r="G36" s="26">
        <f>E36*$F$3/1000</f>
        <v>0</v>
      </c>
      <c r="H36" s="14" t="s">
        <v>25</v>
      </c>
      <c r="I36" s="29"/>
      <c r="J36" s="27">
        <f t="shared" si="0"/>
        <v>0</v>
      </c>
      <c r="L36" s="28">
        <f t="shared" si="1"/>
        <v>0</v>
      </c>
      <c r="M36" s="14" t="s">
        <v>25</v>
      </c>
      <c r="N36" s="29"/>
      <c r="O36" s="27">
        <f t="shared" si="2"/>
        <v>0</v>
      </c>
      <c r="Q36" s="2"/>
      <c r="R36" s="36"/>
      <c r="S36" s="37"/>
      <c r="T36" s="12"/>
      <c r="V36" s="2"/>
      <c r="W36" s="36"/>
      <c r="X36" s="37"/>
      <c r="Y36" s="12"/>
    </row>
    <row r="37" spans="1:25" x14ac:dyDescent="0.25">
      <c r="A37" s="6" t="s">
        <v>54</v>
      </c>
      <c r="B37" s="550">
        <f>'Cardápio CMEI Manhã 2017'!B38+'Cardápio CMEI Manhã 2017'!B51+'Cardápio CMEI Manhã 2017'!B87+'Cardápio CMEI Manhã 2017'!K172</f>
        <v>14</v>
      </c>
      <c r="C37" s="57" t="s">
        <v>88</v>
      </c>
      <c r="D37" s="57">
        <v>1</v>
      </c>
      <c r="E37" s="480">
        <f t="shared" si="3"/>
        <v>14</v>
      </c>
      <c r="G37" s="26">
        <f>E37*$F$3/500</f>
        <v>0</v>
      </c>
      <c r="H37" s="5" t="s">
        <v>56</v>
      </c>
      <c r="I37" s="29"/>
      <c r="J37" s="27">
        <f t="shared" si="0"/>
        <v>0</v>
      </c>
      <c r="L37" s="28">
        <f t="shared" si="1"/>
        <v>0</v>
      </c>
      <c r="M37" s="5" t="s">
        <v>56</v>
      </c>
      <c r="N37" s="29"/>
      <c r="O37" s="27">
        <f t="shared" si="2"/>
        <v>0</v>
      </c>
      <c r="Q37" s="13"/>
      <c r="R37" s="36"/>
      <c r="S37" s="37"/>
      <c r="T37" s="11"/>
      <c r="V37" s="13"/>
      <c r="W37" s="36"/>
      <c r="X37" s="37"/>
      <c r="Y37" s="11"/>
    </row>
    <row r="38" spans="1:25" x14ac:dyDescent="0.25">
      <c r="A38" s="6" t="s">
        <v>147</v>
      </c>
      <c r="B38" s="550">
        <f>'Cardápio CMEI Manhã 2017'!K145</f>
        <v>50</v>
      </c>
      <c r="C38" s="57" t="s">
        <v>88</v>
      </c>
      <c r="D38" s="57">
        <v>1.95</v>
      </c>
      <c r="E38" s="480">
        <f t="shared" si="3"/>
        <v>97.5</v>
      </c>
      <c r="G38" s="26">
        <f>E38*$F$3/1000</f>
        <v>0</v>
      </c>
      <c r="H38" s="5" t="s">
        <v>25</v>
      </c>
      <c r="I38" s="29"/>
      <c r="J38" s="27">
        <f t="shared" si="0"/>
        <v>0</v>
      </c>
      <c r="L38" s="28">
        <f t="shared" si="1"/>
        <v>0</v>
      </c>
      <c r="M38" s="5" t="s">
        <v>25</v>
      </c>
      <c r="N38" s="29"/>
      <c r="O38" s="27">
        <f t="shared" si="2"/>
        <v>0</v>
      </c>
      <c r="Q38" s="13"/>
      <c r="R38" s="36"/>
      <c r="S38" s="37"/>
      <c r="T38" s="11"/>
      <c r="V38" s="13"/>
      <c r="W38" s="36"/>
      <c r="X38" s="37"/>
      <c r="Y38" s="11"/>
    </row>
    <row r="39" spans="1:25" x14ac:dyDescent="0.25">
      <c r="A39" s="6" t="s">
        <v>100</v>
      </c>
      <c r="B39" s="550">
        <f>'Cardápio CMEI Manhã 2017'!K85+'Cardápio CMEI Manhã 2017'!B100</f>
        <v>100</v>
      </c>
      <c r="C39" s="57" t="s">
        <v>88</v>
      </c>
      <c r="D39" s="57">
        <v>1.36</v>
      </c>
      <c r="E39" s="480">
        <f t="shared" si="3"/>
        <v>136</v>
      </c>
      <c r="G39" s="26">
        <f>E39*$F$3/1000</f>
        <v>0</v>
      </c>
      <c r="H39" s="5" t="s">
        <v>25</v>
      </c>
      <c r="I39" s="29"/>
      <c r="J39" s="27">
        <f t="shared" si="0"/>
        <v>0</v>
      </c>
      <c r="L39" s="28">
        <f t="shared" si="1"/>
        <v>0</v>
      </c>
      <c r="M39" s="5" t="s">
        <v>25</v>
      </c>
      <c r="N39" s="29"/>
      <c r="O39" s="27">
        <f t="shared" si="2"/>
        <v>0</v>
      </c>
      <c r="Q39" s="13"/>
      <c r="R39" s="36"/>
      <c r="S39" s="37"/>
      <c r="T39" s="11"/>
      <c r="V39" s="13"/>
      <c r="W39" s="36"/>
      <c r="X39" s="37"/>
      <c r="Y39" s="11"/>
    </row>
    <row r="40" spans="1:25" x14ac:dyDescent="0.25">
      <c r="A40" s="7" t="s">
        <v>66</v>
      </c>
      <c r="B40" s="550">
        <f>'Cardápio CMEI Manhã 2017'!B75+'Cardápio CMEI Manhã 2017'!B136</f>
        <v>50</v>
      </c>
      <c r="C40" s="57" t="s">
        <v>88</v>
      </c>
      <c r="D40" s="57">
        <v>1.21</v>
      </c>
      <c r="E40" s="480">
        <f t="shared" si="3"/>
        <v>60.5</v>
      </c>
      <c r="G40" s="26">
        <f>E40*$F$3/1000</f>
        <v>0</v>
      </c>
      <c r="H40" s="14" t="s">
        <v>25</v>
      </c>
      <c r="I40" s="29"/>
      <c r="J40" s="27">
        <f>G40*I40</f>
        <v>0</v>
      </c>
      <c r="L40" s="28">
        <f>G40*4</f>
        <v>0</v>
      </c>
      <c r="M40" s="14" t="s">
        <v>25</v>
      </c>
      <c r="N40" s="29"/>
      <c r="O40" s="27">
        <f t="shared" si="2"/>
        <v>0</v>
      </c>
      <c r="Q40" s="10"/>
      <c r="R40" s="36"/>
      <c r="S40" s="37"/>
      <c r="T40" s="12"/>
      <c r="V40" s="10"/>
      <c r="W40" s="36"/>
      <c r="X40" s="37"/>
      <c r="Y40" s="12"/>
    </row>
    <row r="41" spans="1:25" x14ac:dyDescent="0.25">
      <c r="A41" s="7" t="s">
        <v>4</v>
      </c>
      <c r="B41" s="550">
        <f>'Cardápio CMEI Manhã 2017'!B52+'Cardápio CMEI Manhã 2017'!K49+'Cardápio CMEI Manhã 2017'!T50+'Cardápio CMEI Manhã 2017'!B79+'Cardápio CMEI Manhã 2017'!K78+'Cardápio CMEI Manhã 2017'!B113+'Cardápio CMEI Manhã 2017'!K111+'Cardápio CMEI Manhã 2017'!U113+'Cardápio CMEI Manhã 2017'!B141+'Cardápio CMEI Manhã 2017'!K140+'Cardápio CMEI Manhã 2017'!K184</f>
        <v>20</v>
      </c>
      <c r="C41" s="57" t="s">
        <v>90</v>
      </c>
      <c r="D41" s="57">
        <v>1</v>
      </c>
      <c r="E41" s="480">
        <f t="shared" si="3"/>
        <v>20</v>
      </c>
      <c r="G41" s="26">
        <f>E41*$F$3/900</f>
        <v>0</v>
      </c>
      <c r="H41" s="14" t="s">
        <v>40</v>
      </c>
      <c r="I41" s="29"/>
      <c r="J41" s="27">
        <f t="shared" si="0"/>
        <v>0</v>
      </c>
      <c r="L41" s="28">
        <f>G41*4</f>
        <v>0</v>
      </c>
      <c r="M41" s="14" t="s">
        <v>40</v>
      </c>
      <c r="N41" s="29"/>
      <c r="O41" s="27">
        <f t="shared" si="2"/>
        <v>0</v>
      </c>
      <c r="Q41" s="10"/>
      <c r="R41" s="36"/>
      <c r="S41" s="37"/>
      <c r="T41" s="12"/>
      <c r="V41" s="10"/>
      <c r="W41" s="36"/>
      <c r="X41" s="37"/>
      <c r="Y41" s="12"/>
    </row>
    <row r="42" spans="1:25" x14ac:dyDescent="0.25">
      <c r="A42" s="8" t="s">
        <v>58</v>
      </c>
      <c r="B42" s="550">
        <f>'Cardápio CMEI Manhã 2017'!B37</f>
        <v>25</v>
      </c>
      <c r="C42" s="57" t="s">
        <v>88</v>
      </c>
      <c r="D42" s="57">
        <v>1.1299999999999999</v>
      </c>
      <c r="E42" s="480">
        <f t="shared" si="3"/>
        <v>28.249999999999996</v>
      </c>
      <c r="G42" s="26">
        <f>E42*$F$3/1500</f>
        <v>0</v>
      </c>
      <c r="H42" s="14" t="s">
        <v>91</v>
      </c>
      <c r="I42" s="29"/>
      <c r="J42" s="27">
        <f t="shared" si="0"/>
        <v>0</v>
      </c>
      <c r="L42" s="28">
        <f t="shared" si="1"/>
        <v>0</v>
      </c>
      <c r="M42" s="14" t="s">
        <v>91</v>
      </c>
      <c r="N42" s="29"/>
      <c r="O42" s="27">
        <f t="shared" si="2"/>
        <v>0</v>
      </c>
      <c r="Q42" s="38"/>
      <c r="R42" s="36"/>
      <c r="S42" s="37"/>
      <c r="T42" s="12"/>
      <c r="V42" s="38"/>
      <c r="W42" s="36"/>
      <c r="X42" s="37"/>
      <c r="Y42" s="12"/>
    </row>
    <row r="43" spans="1:25" s="501" customFormat="1" x14ac:dyDescent="0.25">
      <c r="A43" s="8" t="s">
        <v>111</v>
      </c>
      <c r="B43" s="550">
        <v>0</v>
      </c>
      <c r="C43" s="57" t="s">
        <v>88</v>
      </c>
      <c r="D43" s="57">
        <v>1</v>
      </c>
      <c r="E43" s="480">
        <f t="shared" si="3"/>
        <v>0</v>
      </c>
      <c r="G43" s="468">
        <f>E43*$F$3/400</f>
        <v>0</v>
      </c>
      <c r="H43" s="14" t="s">
        <v>34</v>
      </c>
      <c r="I43" s="394"/>
      <c r="J43" s="469">
        <f t="shared" si="0"/>
        <v>0</v>
      </c>
      <c r="K43" s="467"/>
      <c r="L43" s="470">
        <f t="shared" si="1"/>
        <v>0</v>
      </c>
      <c r="M43" s="14" t="s">
        <v>34</v>
      </c>
      <c r="N43" s="394"/>
      <c r="O43" s="469">
        <f t="shared" si="2"/>
        <v>0</v>
      </c>
      <c r="Q43" s="502"/>
      <c r="R43" s="503"/>
      <c r="S43" s="504"/>
      <c r="T43" s="397"/>
      <c r="U43" s="505"/>
      <c r="V43" s="502"/>
      <c r="W43" s="503"/>
      <c r="X43" s="504"/>
      <c r="Y43" s="397"/>
    </row>
    <row r="44" spans="1:25" s="467" customFormat="1" x14ac:dyDescent="0.25">
      <c r="A44" s="3" t="s">
        <v>46</v>
      </c>
      <c r="B44" s="550">
        <f>'Cardápio CMEI Manhã 2017'!B45+'Cardápio CMEI Manhã 2017'!B107</f>
        <v>50</v>
      </c>
      <c r="C44" s="57" t="s">
        <v>88</v>
      </c>
      <c r="D44" s="57">
        <v>1.51</v>
      </c>
      <c r="E44" s="480">
        <f t="shared" si="3"/>
        <v>75.5</v>
      </c>
      <c r="G44" s="468">
        <f>E44*$F$3/1000</f>
        <v>0</v>
      </c>
      <c r="H44" s="14" t="s">
        <v>25</v>
      </c>
      <c r="I44" s="394"/>
      <c r="J44" s="469">
        <f t="shared" si="0"/>
        <v>0</v>
      </c>
      <c r="L44" s="470">
        <f t="shared" si="1"/>
        <v>0</v>
      </c>
      <c r="M44" s="14" t="s">
        <v>76</v>
      </c>
      <c r="N44" s="394"/>
      <c r="O44" s="469">
        <f t="shared" si="2"/>
        <v>0</v>
      </c>
      <c r="Q44" s="2"/>
      <c r="R44" s="471"/>
      <c r="S44" s="472"/>
      <c r="T44" s="12"/>
      <c r="U44" s="473"/>
      <c r="V44" s="2"/>
      <c r="W44" s="471"/>
      <c r="X44" s="472"/>
      <c r="Y44" s="12"/>
    </row>
    <row r="45" spans="1:25" x14ac:dyDescent="0.25">
      <c r="A45" s="6" t="s">
        <v>9</v>
      </c>
      <c r="B45" s="550">
        <f>'Cardápio CMEI Manhã 2017'!B138</f>
        <v>1</v>
      </c>
      <c r="C45" s="57" t="s">
        <v>88</v>
      </c>
      <c r="D45" s="57">
        <v>1.43</v>
      </c>
      <c r="E45" s="480">
        <f t="shared" si="3"/>
        <v>1.43</v>
      </c>
      <c r="G45" s="26">
        <f>E45*$F$3/1000</f>
        <v>0</v>
      </c>
      <c r="H45" s="14" t="s">
        <v>25</v>
      </c>
      <c r="I45" s="29"/>
      <c r="J45" s="27">
        <f t="shared" si="0"/>
        <v>0</v>
      </c>
      <c r="L45" s="28">
        <f t="shared" si="1"/>
        <v>0</v>
      </c>
      <c r="M45" s="14" t="s">
        <v>25</v>
      </c>
      <c r="N45" s="29"/>
      <c r="O45" s="27">
        <f t="shared" si="2"/>
        <v>0</v>
      </c>
      <c r="Q45" s="13"/>
      <c r="R45" s="36"/>
      <c r="S45" s="37"/>
      <c r="T45" s="12"/>
      <c r="V45" s="13"/>
      <c r="W45" s="36"/>
      <c r="X45" s="37"/>
      <c r="Y45" s="12"/>
    </row>
    <row r="46" spans="1:25" x14ac:dyDescent="0.25">
      <c r="A46" s="7" t="s">
        <v>29</v>
      </c>
      <c r="B46" s="550">
        <v>0</v>
      </c>
      <c r="C46" s="57" t="s">
        <v>88</v>
      </c>
      <c r="D46" s="57">
        <v>1</v>
      </c>
      <c r="E46" s="480">
        <f t="shared" si="3"/>
        <v>0</v>
      </c>
      <c r="G46" s="26">
        <f>E46*$F$3/1000</f>
        <v>0</v>
      </c>
      <c r="H46" s="14" t="s">
        <v>25</v>
      </c>
      <c r="I46" s="29"/>
      <c r="J46" s="27">
        <f t="shared" si="0"/>
        <v>0</v>
      </c>
      <c r="L46" s="28">
        <f t="shared" si="1"/>
        <v>0</v>
      </c>
      <c r="M46" s="14" t="s">
        <v>25</v>
      </c>
      <c r="N46" s="29"/>
      <c r="O46" s="27">
        <f t="shared" si="2"/>
        <v>0</v>
      </c>
      <c r="Q46" s="10"/>
      <c r="R46" s="36"/>
      <c r="S46" s="37"/>
      <c r="T46" s="12"/>
      <c r="V46" s="10"/>
      <c r="W46" s="36"/>
      <c r="X46" s="37"/>
      <c r="Y46" s="12"/>
    </row>
    <row r="47" spans="1:25" x14ac:dyDescent="0.25">
      <c r="A47" s="7" t="s">
        <v>67</v>
      </c>
      <c r="B47" s="550">
        <v>0</v>
      </c>
      <c r="C47" s="57" t="s">
        <v>88</v>
      </c>
      <c r="D47" s="57">
        <v>1</v>
      </c>
      <c r="E47" s="480">
        <f t="shared" si="3"/>
        <v>0</v>
      </c>
      <c r="G47" s="26">
        <f>E47*$F$3/1000</f>
        <v>0</v>
      </c>
      <c r="H47" s="14" t="s">
        <v>25</v>
      </c>
      <c r="I47" s="29"/>
      <c r="J47" s="27">
        <f t="shared" si="0"/>
        <v>0</v>
      </c>
      <c r="L47" s="28">
        <f t="shared" si="1"/>
        <v>0</v>
      </c>
      <c r="M47" s="14" t="s">
        <v>25</v>
      </c>
      <c r="N47" s="29"/>
      <c r="O47" s="27">
        <f t="shared" si="2"/>
        <v>0</v>
      </c>
      <c r="Q47" s="10"/>
      <c r="R47" s="36"/>
      <c r="S47" s="37"/>
      <c r="T47" s="12"/>
      <c r="V47" s="10"/>
      <c r="W47" s="36"/>
      <c r="X47" s="37"/>
      <c r="Y47" s="12"/>
    </row>
    <row r="48" spans="1:25" x14ac:dyDescent="0.25">
      <c r="A48" s="6" t="s">
        <v>33</v>
      </c>
      <c r="B48" s="550">
        <v>0</v>
      </c>
      <c r="C48" s="57" t="s">
        <v>88</v>
      </c>
      <c r="D48" s="57">
        <v>1</v>
      </c>
      <c r="E48" s="480">
        <f t="shared" si="3"/>
        <v>0</v>
      </c>
      <c r="G48" s="26">
        <f>E48*$F$3/520</f>
        <v>0</v>
      </c>
      <c r="H48" s="14" t="s">
        <v>92</v>
      </c>
      <c r="I48" s="29"/>
      <c r="J48" s="27">
        <f t="shared" si="0"/>
        <v>0</v>
      </c>
      <c r="L48" s="28">
        <f t="shared" si="1"/>
        <v>0</v>
      </c>
      <c r="M48" s="14" t="s">
        <v>92</v>
      </c>
      <c r="N48" s="29"/>
      <c r="O48" s="27">
        <f t="shared" si="2"/>
        <v>0</v>
      </c>
      <c r="Q48" s="13"/>
      <c r="R48" s="36"/>
      <c r="S48" s="37"/>
      <c r="T48" s="12"/>
      <c r="V48" s="13"/>
      <c r="W48" s="36"/>
      <c r="X48" s="37"/>
      <c r="Y48" s="12"/>
    </row>
    <row r="49" spans="1:25" x14ac:dyDescent="0.25">
      <c r="A49" s="3" t="s">
        <v>5</v>
      </c>
      <c r="B49" s="550">
        <f>'Cardápio CMEI Manhã 2017'!B36+'Cardápio CMEI Manhã 2017'!B49+'Cardápio CMEI Manhã 2017'!K46+'Cardápio CMEI Manhã 2017'!T51+'Cardápio CMEI Manhã 2017'!B80+'Cardápio CMEI Manhã 2017'!K79+'Cardápio CMEI Manhã 2017'!B86+'Cardápio CMEI Manhã 2017'!B111+'Cardápio CMEI Manhã 2017'!K108+'Cardápio CMEI Manhã 2017'!U115+'Cardápio CMEI Manhã 2017'!B142+'Cardápio CMEI Manhã 2017'!K137+'Cardápio CMEI Manhã 2017'!B153+'Cardápio CMEI Manhã 2017'!B178+'Cardápio CMEI Manhã 2017'!K174+'Cardápio CMEI Manhã 2017'!K181</f>
        <v>8.5</v>
      </c>
      <c r="C49" s="57" t="s">
        <v>88</v>
      </c>
      <c r="D49" s="57">
        <v>1</v>
      </c>
      <c r="E49" s="480">
        <f t="shared" si="3"/>
        <v>8.5</v>
      </c>
      <c r="G49" s="26">
        <f>E49*$F$3/1000</f>
        <v>0</v>
      </c>
      <c r="H49" s="14" t="s">
        <v>25</v>
      </c>
      <c r="I49" s="29"/>
      <c r="J49" s="27">
        <f t="shared" si="0"/>
        <v>0</v>
      </c>
      <c r="L49" s="28">
        <f t="shared" si="1"/>
        <v>0</v>
      </c>
      <c r="M49" s="14" t="s">
        <v>25</v>
      </c>
      <c r="N49" s="29"/>
      <c r="O49" s="27">
        <f t="shared" si="2"/>
        <v>0</v>
      </c>
      <c r="Q49" s="2"/>
      <c r="R49" s="36"/>
      <c r="S49" s="37"/>
      <c r="T49" s="12"/>
      <c r="V49" s="2"/>
      <c r="W49" s="36"/>
      <c r="X49" s="37"/>
      <c r="Y49" s="12"/>
    </row>
    <row r="50" spans="1:25" ht="13.5" customHeight="1" x14ac:dyDescent="0.25">
      <c r="A50" s="3" t="s">
        <v>10</v>
      </c>
      <c r="B50" s="550">
        <f>'Cardápio CMEI Manhã 2017'!B50+'Cardápio CMEI Manhã 2017'!T52+'Cardápio CMEI Manhã 2017'!B78+'Cardápio CMEI Manhã 2017'!U111+'Cardápio CMEI Manhã 2017'!B144+'Cardápio CMEI Manhã 2017'!B177</f>
        <v>48</v>
      </c>
      <c r="C50" s="57" t="s">
        <v>88</v>
      </c>
      <c r="D50" s="57">
        <v>1.33</v>
      </c>
      <c r="E50" s="480">
        <f t="shared" si="3"/>
        <v>63.84</v>
      </c>
      <c r="G50" s="26">
        <f>E50*$F$3/1000</f>
        <v>0</v>
      </c>
      <c r="H50" s="14" t="s">
        <v>25</v>
      </c>
      <c r="I50" s="29"/>
      <c r="J50" s="27">
        <f t="shared" si="0"/>
        <v>0</v>
      </c>
      <c r="L50" s="28">
        <f t="shared" si="1"/>
        <v>0</v>
      </c>
      <c r="M50" s="14" t="s">
        <v>25</v>
      </c>
      <c r="N50" s="29"/>
      <c r="O50" s="27">
        <f t="shared" si="2"/>
        <v>0</v>
      </c>
      <c r="Q50" s="2"/>
      <c r="R50" s="36"/>
      <c r="S50" s="37"/>
      <c r="T50" s="12"/>
      <c r="V50" s="2"/>
      <c r="W50" s="36"/>
      <c r="X50" s="37"/>
      <c r="Y50" s="12"/>
    </row>
    <row r="51" spans="1:25" ht="13.5" customHeight="1" x14ac:dyDescent="0.25">
      <c r="A51" s="3" t="s">
        <v>157</v>
      </c>
      <c r="B51" s="550">
        <v>0</v>
      </c>
      <c r="C51" s="57" t="s">
        <v>88</v>
      </c>
      <c r="D51" s="57">
        <v>1</v>
      </c>
      <c r="E51" s="480">
        <f t="shared" ref="E51" si="9">B51*D51</f>
        <v>0</v>
      </c>
      <c r="G51" s="26">
        <f>E51*$F$3/400</f>
        <v>0</v>
      </c>
      <c r="H51" s="14" t="s">
        <v>161</v>
      </c>
      <c r="I51" s="29"/>
      <c r="J51" s="27">
        <f t="shared" ref="J51" si="10">G51*I51</f>
        <v>0</v>
      </c>
      <c r="L51" s="28">
        <f t="shared" ref="L51" si="11">G51*4</f>
        <v>0</v>
      </c>
      <c r="M51" s="14" t="s">
        <v>161</v>
      </c>
      <c r="N51" s="29"/>
      <c r="O51" s="27">
        <f t="shared" ref="O51" si="12">L51*N51</f>
        <v>0</v>
      </c>
      <c r="Q51" s="2"/>
      <c r="R51" s="36"/>
      <c r="S51" s="37"/>
      <c r="T51" s="12"/>
      <c r="V51" s="2"/>
      <c r="W51" s="36"/>
      <c r="X51" s="37"/>
      <c r="Y51" s="12"/>
    </row>
    <row r="52" spans="1:25" ht="18" x14ac:dyDescent="0.25">
      <c r="J52" s="30">
        <f>SUM(J7:J51)</f>
        <v>0</v>
      </c>
      <c r="O52" s="30">
        <f>SUM(O7:O51)</f>
        <v>0</v>
      </c>
    </row>
  </sheetData>
  <mergeCells count="4">
    <mergeCell ref="B3:C3"/>
    <mergeCell ref="Q4:T4"/>
    <mergeCell ref="V4:Y4"/>
    <mergeCell ref="B6:C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2"/>
  <sheetViews>
    <sheetView workbookViewId="0">
      <selection activeCell="F4" sqref="F4"/>
    </sheetView>
  </sheetViews>
  <sheetFormatPr defaultRowHeight="15" x14ac:dyDescent="0.25"/>
  <cols>
    <col min="1" max="1" width="20.42578125" customWidth="1"/>
    <col min="2" max="2" width="9.7109375" customWidth="1"/>
    <col min="3" max="4" width="11" customWidth="1"/>
    <col min="5" max="5" width="14.85546875" customWidth="1"/>
    <col min="6" max="6" width="13.85546875" customWidth="1"/>
    <col min="7" max="7" width="15.7109375" style="19" customWidth="1"/>
    <col min="8" max="8" width="10.85546875" style="19" customWidth="1"/>
    <col min="9" max="9" width="14" bestFit="1" customWidth="1"/>
    <col min="10" max="10" width="20.5703125" customWidth="1"/>
    <col min="12" max="12" width="14.5703125" customWidth="1"/>
    <col min="13" max="13" width="13.7109375" customWidth="1"/>
    <col min="14" max="14" width="16.7109375" customWidth="1"/>
    <col min="15" max="15" width="22.85546875" customWidth="1"/>
    <col min="17" max="17" width="19.7109375" style="16" bestFit="1" customWidth="1"/>
    <col min="18" max="19" width="16.85546875" style="16" customWidth="1"/>
    <col min="20" max="20" width="11.7109375" style="16" customWidth="1"/>
    <col min="21" max="21" width="9.140625" style="16"/>
    <col min="22" max="22" width="14.140625" style="16" customWidth="1"/>
    <col min="23" max="23" width="18.5703125" style="16" customWidth="1"/>
    <col min="24" max="24" width="12.7109375" style="16" customWidth="1"/>
    <col min="25" max="25" width="14.42578125" style="16" customWidth="1"/>
    <col min="260" max="260" width="20.42578125" customWidth="1"/>
    <col min="262" max="262" width="11" customWidth="1"/>
    <col min="264" max="264" width="15.7109375" customWidth="1"/>
    <col min="265" max="265" width="10.85546875" customWidth="1"/>
    <col min="266" max="266" width="14" bestFit="1" customWidth="1"/>
    <col min="267" max="267" width="19.140625" customWidth="1"/>
    <col min="269" max="269" width="14.5703125" customWidth="1"/>
    <col min="270" max="270" width="13.7109375" customWidth="1"/>
    <col min="271" max="271" width="16.7109375" customWidth="1"/>
    <col min="272" max="272" width="17" customWidth="1"/>
    <col min="516" max="516" width="20.42578125" customWidth="1"/>
    <col min="518" max="518" width="11" customWidth="1"/>
    <col min="520" max="520" width="15.7109375" customWidth="1"/>
    <col min="521" max="521" width="10.85546875" customWidth="1"/>
    <col min="522" max="522" width="14" bestFit="1" customWidth="1"/>
    <col min="523" max="523" width="19.140625" customWidth="1"/>
    <col min="525" max="525" width="14.5703125" customWidth="1"/>
    <col min="526" max="526" width="13.7109375" customWidth="1"/>
    <col min="527" max="527" width="16.7109375" customWidth="1"/>
    <col min="528" max="528" width="17" customWidth="1"/>
    <col min="772" max="772" width="20.42578125" customWidth="1"/>
    <col min="774" max="774" width="11" customWidth="1"/>
    <col min="776" max="776" width="15.7109375" customWidth="1"/>
    <col min="777" max="777" width="10.85546875" customWidth="1"/>
    <col min="778" max="778" width="14" bestFit="1" customWidth="1"/>
    <col min="779" max="779" width="19.140625" customWidth="1"/>
    <col min="781" max="781" width="14.5703125" customWidth="1"/>
    <col min="782" max="782" width="13.7109375" customWidth="1"/>
    <col min="783" max="783" width="16.7109375" customWidth="1"/>
    <col min="784" max="784" width="17" customWidth="1"/>
    <col min="1028" max="1028" width="20.42578125" customWidth="1"/>
    <col min="1030" max="1030" width="11" customWidth="1"/>
    <col min="1032" max="1032" width="15.7109375" customWidth="1"/>
    <col min="1033" max="1033" width="10.85546875" customWidth="1"/>
    <col min="1034" max="1034" width="14" bestFit="1" customWidth="1"/>
    <col min="1035" max="1035" width="19.140625" customWidth="1"/>
    <col min="1037" max="1037" width="14.5703125" customWidth="1"/>
    <col min="1038" max="1038" width="13.7109375" customWidth="1"/>
    <col min="1039" max="1039" width="16.7109375" customWidth="1"/>
    <col min="1040" max="1040" width="17" customWidth="1"/>
    <col min="1284" max="1284" width="20.42578125" customWidth="1"/>
    <col min="1286" max="1286" width="11" customWidth="1"/>
    <col min="1288" max="1288" width="15.7109375" customWidth="1"/>
    <col min="1289" max="1289" width="10.85546875" customWidth="1"/>
    <col min="1290" max="1290" width="14" bestFit="1" customWidth="1"/>
    <col min="1291" max="1291" width="19.140625" customWidth="1"/>
    <col min="1293" max="1293" width="14.5703125" customWidth="1"/>
    <col min="1294" max="1294" width="13.7109375" customWidth="1"/>
    <col min="1295" max="1295" width="16.7109375" customWidth="1"/>
    <col min="1296" max="1296" width="17" customWidth="1"/>
    <col min="1540" max="1540" width="20.42578125" customWidth="1"/>
    <col min="1542" max="1542" width="11" customWidth="1"/>
    <col min="1544" max="1544" width="15.7109375" customWidth="1"/>
    <col min="1545" max="1545" width="10.85546875" customWidth="1"/>
    <col min="1546" max="1546" width="14" bestFit="1" customWidth="1"/>
    <col min="1547" max="1547" width="19.140625" customWidth="1"/>
    <col min="1549" max="1549" width="14.5703125" customWidth="1"/>
    <col min="1550" max="1550" width="13.7109375" customWidth="1"/>
    <col min="1551" max="1551" width="16.7109375" customWidth="1"/>
    <col min="1552" max="1552" width="17" customWidth="1"/>
    <col min="1796" max="1796" width="20.42578125" customWidth="1"/>
    <col min="1798" max="1798" width="11" customWidth="1"/>
    <col min="1800" max="1800" width="15.7109375" customWidth="1"/>
    <col min="1801" max="1801" width="10.85546875" customWidth="1"/>
    <col min="1802" max="1802" width="14" bestFit="1" customWidth="1"/>
    <col min="1803" max="1803" width="19.140625" customWidth="1"/>
    <col min="1805" max="1805" width="14.5703125" customWidth="1"/>
    <col min="1806" max="1806" width="13.7109375" customWidth="1"/>
    <col min="1807" max="1807" width="16.7109375" customWidth="1"/>
    <col min="1808" max="1808" width="17" customWidth="1"/>
    <col min="2052" max="2052" width="20.42578125" customWidth="1"/>
    <col min="2054" max="2054" width="11" customWidth="1"/>
    <col min="2056" max="2056" width="15.7109375" customWidth="1"/>
    <col min="2057" max="2057" width="10.85546875" customWidth="1"/>
    <col min="2058" max="2058" width="14" bestFit="1" customWidth="1"/>
    <col min="2059" max="2059" width="19.140625" customWidth="1"/>
    <col min="2061" max="2061" width="14.5703125" customWidth="1"/>
    <col min="2062" max="2062" width="13.7109375" customWidth="1"/>
    <col min="2063" max="2063" width="16.7109375" customWidth="1"/>
    <col min="2064" max="2064" width="17" customWidth="1"/>
    <col min="2308" max="2308" width="20.42578125" customWidth="1"/>
    <col min="2310" max="2310" width="11" customWidth="1"/>
    <col min="2312" max="2312" width="15.7109375" customWidth="1"/>
    <col min="2313" max="2313" width="10.85546875" customWidth="1"/>
    <col min="2314" max="2314" width="14" bestFit="1" customWidth="1"/>
    <col min="2315" max="2315" width="19.140625" customWidth="1"/>
    <col min="2317" max="2317" width="14.5703125" customWidth="1"/>
    <col min="2318" max="2318" width="13.7109375" customWidth="1"/>
    <col min="2319" max="2319" width="16.7109375" customWidth="1"/>
    <col min="2320" max="2320" width="17" customWidth="1"/>
    <col min="2564" max="2564" width="20.42578125" customWidth="1"/>
    <col min="2566" max="2566" width="11" customWidth="1"/>
    <col min="2568" max="2568" width="15.7109375" customWidth="1"/>
    <col min="2569" max="2569" width="10.85546875" customWidth="1"/>
    <col min="2570" max="2570" width="14" bestFit="1" customWidth="1"/>
    <col min="2571" max="2571" width="19.140625" customWidth="1"/>
    <col min="2573" max="2573" width="14.5703125" customWidth="1"/>
    <col min="2574" max="2574" width="13.7109375" customWidth="1"/>
    <col min="2575" max="2575" width="16.7109375" customWidth="1"/>
    <col min="2576" max="2576" width="17" customWidth="1"/>
    <col min="2820" max="2820" width="20.42578125" customWidth="1"/>
    <col min="2822" max="2822" width="11" customWidth="1"/>
    <col min="2824" max="2824" width="15.7109375" customWidth="1"/>
    <col min="2825" max="2825" width="10.85546875" customWidth="1"/>
    <col min="2826" max="2826" width="14" bestFit="1" customWidth="1"/>
    <col min="2827" max="2827" width="19.140625" customWidth="1"/>
    <col min="2829" max="2829" width="14.5703125" customWidth="1"/>
    <col min="2830" max="2830" width="13.7109375" customWidth="1"/>
    <col min="2831" max="2831" width="16.7109375" customWidth="1"/>
    <col min="2832" max="2832" width="17" customWidth="1"/>
    <col min="3076" max="3076" width="20.42578125" customWidth="1"/>
    <col min="3078" max="3078" width="11" customWidth="1"/>
    <col min="3080" max="3080" width="15.7109375" customWidth="1"/>
    <col min="3081" max="3081" width="10.85546875" customWidth="1"/>
    <col min="3082" max="3082" width="14" bestFit="1" customWidth="1"/>
    <col min="3083" max="3083" width="19.140625" customWidth="1"/>
    <col min="3085" max="3085" width="14.5703125" customWidth="1"/>
    <col min="3086" max="3086" width="13.7109375" customWidth="1"/>
    <col min="3087" max="3087" width="16.7109375" customWidth="1"/>
    <col min="3088" max="3088" width="17" customWidth="1"/>
    <col min="3332" max="3332" width="20.42578125" customWidth="1"/>
    <col min="3334" max="3334" width="11" customWidth="1"/>
    <col min="3336" max="3336" width="15.7109375" customWidth="1"/>
    <col min="3337" max="3337" width="10.85546875" customWidth="1"/>
    <col min="3338" max="3338" width="14" bestFit="1" customWidth="1"/>
    <col min="3339" max="3339" width="19.140625" customWidth="1"/>
    <col min="3341" max="3341" width="14.5703125" customWidth="1"/>
    <col min="3342" max="3342" width="13.7109375" customWidth="1"/>
    <col min="3343" max="3343" width="16.7109375" customWidth="1"/>
    <col min="3344" max="3344" width="17" customWidth="1"/>
    <col min="3588" max="3588" width="20.42578125" customWidth="1"/>
    <col min="3590" max="3590" width="11" customWidth="1"/>
    <col min="3592" max="3592" width="15.7109375" customWidth="1"/>
    <col min="3593" max="3593" width="10.85546875" customWidth="1"/>
    <col min="3594" max="3594" width="14" bestFit="1" customWidth="1"/>
    <col min="3595" max="3595" width="19.140625" customWidth="1"/>
    <col min="3597" max="3597" width="14.5703125" customWidth="1"/>
    <col min="3598" max="3598" width="13.7109375" customWidth="1"/>
    <col min="3599" max="3599" width="16.7109375" customWidth="1"/>
    <col min="3600" max="3600" width="17" customWidth="1"/>
    <col min="3844" max="3844" width="20.42578125" customWidth="1"/>
    <col min="3846" max="3846" width="11" customWidth="1"/>
    <col min="3848" max="3848" width="15.7109375" customWidth="1"/>
    <col min="3849" max="3849" width="10.85546875" customWidth="1"/>
    <col min="3850" max="3850" width="14" bestFit="1" customWidth="1"/>
    <col min="3851" max="3851" width="19.140625" customWidth="1"/>
    <col min="3853" max="3853" width="14.5703125" customWidth="1"/>
    <col min="3854" max="3854" width="13.7109375" customWidth="1"/>
    <col min="3855" max="3855" width="16.7109375" customWidth="1"/>
    <col min="3856" max="3856" width="17" customWidth="1"/>
    <col min="4100" max="4100" width="20.42578125" customWidth="1"/>
    <col min="4102" max="4102" width="11" customWidth="1"/>
    <col min="4104" max="4104" width="15.7109375" customWidth="1"/>
    <col min="4105" max="4105" width="10.85546875" customWidth="1"/>
    <col min="4106" max="4106" width="14" bestFit="1" customWidth="1"/>
    <col min="4107" max="4107" width="19.140625" customWidth="1"/>
    <col min="4109" max="4109" width="14.5703125" customWidth="1"/>
    <col min="4110" max="4110" width="13.7109375" customWidth="1"/>
    <col min="4111" max="4111" width="16.7109375" customWidth="1"/>
    <col min="4112" max="4112" width="17" customWidth="1"/>
    <col min="4356" max="4356" width="20.42578125" customWidth="1"/>
    <col min="4358" max="4358" width="11" customWidth="1"/>
    <col min="4360" max="4360" width="15.7109375" customWidth="1"/>
    <col min="4361" max="4361" width="10.85546875" customWidth="1"/>
    <col min="4362" max="4362" width="14" bestFit="1" customWidth="1"/>
    <col min="4363" max="4363" width="19.140625" customWidth="1"/>
    <col min="4365" max="4365" width="14.5703125" customWidth="1"/>
    <col min="4366" max="4366" width="13.7109375" customWidth="1"/>
    <col min="4367" max="4367" width="16.7109375" customWidth="1"/>
    <col min="4368" max="4368" width="17" customWidth="1"/>
    <col min="4612" max="4612" width="20.42578125" customWidth="1"/>
    <col min="4614" max="4614" width="11" customWidth="1"/>
    <col min="4616" max="4616" width="15.7109375" customWidth="1"/>
    <col min="4617" max="4617" width="10.85546875" customWidth="1"/>
    <col min="4618" max="4618" width="14" bestFit="1" customWidth="1"/>
    <col min="4619" max="4619" width="19.140625" customWidth="1"/>
    <col min="4621" max="4621" width="14.5703125" customWidth="1"/>
    <col min="4622" max="4622" width="13.7109375" customWidth="1"/>
    <col min="4623" max="4623" width="16.7109375" customWidth="1"/>
    <col min="4624" max="4624" width="17" customWidth="1"/>
    <col min="4868" max="4868" width="20.42578125" customWidth="1"/>
    <col min="4870" max="4870" width="11" customWidth="1"/>
    <col min="4872" max="4872" width="15.7109375" customWidth="1"/>
    <col min="4873" max="4873" width="10.85546875" customWidth="1"/>
    <col min="4874" max="4874" width="14" bestFit="1" customWidth="1"/>
    <col min="4875" max="4875" width="19.140625" customWidth="1"/>
    <col min="4877" max="4877" width="14.5703125" customWidth="1"/>
    <col min="4878" max="4878" width="13.7109375" customWidth="1"/>
    <col min="4879" max="4879" width="16.7109375" customWidth="1"/>
    <col min="4880" max="4880" width="17" customWidth="1"/>
    <col min="5124" max="5124" width="20.42578125" customWidth="1"/>
    <col min="5126" max="5126" width="11" customWidth="1"/>
    <col min="5128" max="5128" width="15.7109375" customWidth="1"/>
    <col min="5129" max="5129" width="10.85546875" customWidth="1"/>
    <col min="5130" max="5130" width="14" bestFit="1" customWidth="1"/>
    <col min="5131" max="5131" width="19.140625" customWidth="1"/>
    <col min="5133" max="5133" width="14.5703125" customWidth="1"/>
    <col min="5134" max="5134" width="13.7109375" customWidth="1"/>
    <col min="5135" max="5135" width="16.7109375" customWidth="1"/>
    <col min="5136" max="5136" width="17" customWidth="1"/>
    <col min="5380" max="5380" width="20.42578125" customWidth="1"/>
    <col min="5382" max="5382" width="11" customWidth="1"/>
    <col min="5384" max="5384" width="15.7109375" customWidth="1"/>
    <col min="5385" max="5385" width="10.85546875" customWidth="1"/>
    <col min="5386" max="5386" width="14" bestFit="1" customWidth="1"/>
    <col min="5387" max="5387" width="19.140625" customWidth="1"/>
    <col min="5389" max="5389" width="14.5703125" customWidth="1"/>
    <col min="5390" max="5390" width="13.7109375" customWidth="1"/>
    <col min="5391" max="5391" width="16.7109375" customWidth="1"/>
    <col min="5392" max="5392" width="17" customWidth="1"/>
    <col min="5636" max="5636" width="20.42578125" customWidth="1"/>
    <col min="5638" max="5638" width="11" customWidth="1"/>
    <col min="5640" max="5640" width="15.7109375" customWidth="1"/>
    <col min="5641" max="5641" width="10.85546875" customWidth="1"/>
    <col min="5642" max="5642" width="14" bestFit="1" customWidth="1"/>
    <col min="5643" max="5643" width="19.140625" customWidth="1"/>
    <col min="5645" max="5645" width="14.5703125" customWidth="1"/>
    <col min="5646" max="5646" width="13.7109375" customWidth="1"/>
    <col min="5647" max="5647" width="16.7109375" customWidth="1"/>
    <col min="5648" max="5648" width="17" customWidth="1"/>
    <col min="5892" max="5892" width="20.42578125" customWidth="1"/>
    <col min="5894" max="5894" width="11" customWidth="1"/>
    <col min="5896" max="5896" width="15.7109375" customWidth="1"/>
    <col min="5897" max="5897" width="10.85546875" customWidth="1"/>
    <col min="5898" max="5898" width="14" bestFit="1" customWidth="1"/>
    <col min="5899" max="5899" width="19.140625" customWidth="1"/>
    <col min="5901" max="5901" width="14.5703125" customWidth="1"/>
    <col min="5902" max="5902" width="13.7109375" customWidth="1"/>
    <col min="5903" max="5903" width="16.7109375" customWidth="1"/>
    <col min="5904" max="5904" width="17" customWidth="1"/>
    <col min="6148" max="6148" width="20.42578125" customWidth="1"/>
    <col min="6150" max="6150" width="11" customWidth="1"/>
    <col min="6152" max="6152" width="15.7109375" customWidth="1"/>
    <col min="6153" max="6153" width="10.85546875" customWidth="1"/>
    <col min="6154" max="6154" width="14" bestFit="1" customWidth="1"/>
    <col min="6155" max="6155" width="19.140625" customWidth="1"/>
    <col min="6157" max="6157" width="14.5703125" customWidth="1"/>
    <col min="6158" max="6158" width="13.7109375" customWidth="1"/>
    <col min="6159" max="6159" width="16.7109375" customWidth="1"/>
    <col min="6160" max="6160" width="17" customWidth="1"/>
    <col min="6404" max="6404" width="20.42578125" customWidth="1"/>
    <col min="6406" max="6406" width="11" customWidth="1"/>
    <col min="6408" max="6408" width="15.7109375" customWidth="1"/>
    <col min="6409" max="6409" width="10.85546875" customWidth="1"/>
    <col min="6410" max="6410" width="14" bestFit="1" customWidth="1"/>
    <col min="6411" max="6411" width="19.140625" customWidth="1"/>
    <col min="6413" max="6413" width="14.5703125" customWidth="1"/>
    <col min="6414" max="6414" width="13.7109375" customWidth="1"/>
    <col min="6415" max="6415" width="16.7109375" customWidth="1"/>
    <col min="6416" max="6416" width="17" customWidth="1"/>
    <col min="6660" max="6660" width="20.42578125" customWidth="1"/>
    <col min="6662" max="6662" width="11" customWidth="1"/>
    <col min="6664" max="6664" width="15.7109375" customWidth="1"/>
    <col min="6665" max="6665" width="10.85546875" customWidth="1"/>
    <col min="6666" max="6666" width="14" bestFit="1" customWidth="1"/>
    <col min="6667" max="6667" width="19.140625" customWidth="1"/>
    <col min="6669" max="6669" width="14.5703125" customWidth="1"/>
    <col min="6670" max="6670" width="13.7109375" customWidth="1"/>
    <col min="6671" max="6671" width="16.7109375" customWidth="1"/>
    <col min="6672" max="6672" width="17" customWidth="1"/>
    <col min="6916" max="6916" width="20.42578125" customWidth="1"/>
    <col min="6918" max="6918" width="11" customWidth="1"/>
    <col min="6920" max="6920" width="15.7109375" customWidth="1"/>
    <col min="6921" max="6921" width="10.85546875" customWidth="1"/>
    <col min="6922" max="6922" width="14" bestFit="1" customWidth="1"/>
    <col min="6923" max="6923" width="19.140625" customWidth="1"/>
    <col min="6925" max="6925" width="14.5703125" customWidth="1"/>
    <col min="6926" max="6926" width="13.7109375" customWidth="1"/>
    <col min="6927" max="6927" width="16.7109375" customWidth="1"/>
    <col min="6928" max="6928" width="17" customWidth="1"/>
    <col min="7172" max="7172" width="20.42578125" customWidth="1"/>
    <col min="7174" max="7174" width="11" customWidth="1"/>
    <col min="7176" max="7176" width="15.7109375" customWidth="1"/>
    <col min="7177" max="7177" width="10.85546875" customWidth="1"/>
    <col min="7178" max="7178" width="14" bestFit="1" customWidth="1"/>
    <col min="7179" max="7179" width="19.140625" customWidth="1"/>
    <col min="7181" max="7181" width="14.5703125" customWidth="1"/>
    <col min="7182" max="7182" width="13.7109375" customWidth="1"/>
    <col min="7183" max="7183" width="16.7109375" customWidth="1"/>
    <col min="7184" max="7184" width="17" customWidth="1"/>
    <col min="7428" max="7428" width="20.42578125" customWidth="1"/>
    <col min="7430" max="7430" width="11" customWidth="1"/>
    <col min="7432" max="7432" width="15.7109375" customWidth="1"/>
    <col min="7433" max="7433" width="10.85546875" customWidth="1"/>
    <col min="7434" max="7434" width="14" bestFit="1" customWidth="1"/>
    <col min="7435" max="7435" width="19.140625" customWidth="1"/>
    <col min="7437" max="7437" width="14.5703125" customWidth="1"/>
    <col min="7438" max="7438" width="13.7109375" customWidth="1"/>
    <col min="7439" max="7439" width="16.7109375" customWidth="1"/>
    <col min="7440" max="7440" width="17" customWidth="1"/>
    <col min="7684" max="7684" width="20.42578125" customWidth="1"/>
    <col min="7686" max="7686" width="11" customWidth="1"/>
    <col min="7688" max="7688" width="15.7109375" customWidth="1"/>
    <col min="7689" max="7689" width="10.85546875" customWidth="1"/>
    <col min="7690" max="7690" width="14" bestFit="1" customWidth="1"/>
    <col min="7691" max="7691" width="19.140625" customWidth="1"/>
    <col min="7693" max="7693" width="14.5703125" customWidth="1"/>
    <col min="7694" max="7694" width="13.7109375" customWidth="1"/>
    <col min="7695" max="7695" width="16.7109375" customWidth="1"/>
    <col min="7696" max="7696" width="17" customWidth="1"/>
    <col min="7940" max="7940" width="20.42578125" customWidth="1"/>
    <col min="7942" max="7942" width="11" customWidth="1"/>
    <col min="7944" max="7944" width="15.7109375" customWidth="1"/>
    <col min="7945" max="7945" width="10.85546875" customWidth="1"/>
    <col min="7946" max="7946" width="14" bestFit="1" customWidth="1"/>
    <col min="7947" max="7947" width="19.140625" customWidth="1"/>
    <col min="7949" max="7949" width="14.5703125" customWidth="1"/>
    <col min="7950" max="7950" width="13.7109375" customWidth="1"/>
    <col min="7951" max="7951" width="16.7109375" customWidth="1"/>
    <col min="7952" max="7952" width="17" customWidth="1"/>
    <col min="8196" max="8196" width="20.42578125" customWidth="1"/>
    <col min="8198" max="8198" width="11" customWidth="1"/>
    <col min="8200" max="8200" width="15.7109375" customWidth="1"/>
    <col min="8201" max="8201" width="10.85546875" customWidth="1"/>
    <col min="8202" max="8202" width="14" bestFit="1" customWidth="1"/>
    <col min="8203" max="8203" width="19.140625" customWidth="1"/>
    <col min="8205" max="8205" width="14.5703125" customWidth="1"/>
    <col min="8206" max="8206" width="13.7109375" customWidth="1"/>
    <col min="8207" max="8207" width="16.7109375" customWidth="1"/>
    <col min="8208" max="8208" width="17" customWidth="1"/>
    <col min="8452" max="8452" width="20.42578125" customWidth="1"/>
    <col min="8454" max="8454" width="11" customWidth="1"/>
    <col min="8456" max="8456" width="15.7109375" customWidth="1"/>
    <col min="8457" max="8457" width="10.85546875" customWidth="1"/>
    <col min="8458" max="8458" width="14" bestFit="1" customWidth="1"/>
    <col min="8459" max="8459" width="19.140625" customWidth="1"/>
    <col min="8461" max="8461" width="14.5703125" customWidth="1"/>
    <col min="8462" max="8462" width="13.7109375" customWidth="1"/>
    <col min="8463" max="8463" width="16.7109375" customWidth="1"/>
    <col min="8464" max="8464" width="17" customWidth="1"/>
    <col min="8708" max="8708" width="20.42578125" customWidth="1"/>
    <col min="8710" max="8710" width="11" customWidth="1"/>
    <col min="8712" max="8712" width="15.7109375" customWidth="1"/>
    <col min="8713" max="8713" width="10.85546875" customWidth="1"/>
    <col min="8714" max="8714" width="14" bestFit="1" customWidth="1"/>
    <col min="8715" max="8715" width="19.140625" customWidth="1"/>
    <col min="8717" max="8717" width="14.5703125" customWidth="1"/>
    <col min="8718" max="8718" width="13.7109375" customWidth="1"/>
    <col min="8719" max="8719" width="16.7109375" customWidth="1"/>
    <col min="8720" max="8720" width="17" customWidth="1"/>
    <col min="8964" max="8964" width="20.42578125" customWidth="1"/>
    <col min="8966" max="8966" width="11" customWidth="1"/>
    <col min="8968" max="8968" width="15.7109375" customWidth="1"/>
    <col min="8969" max="8969" width="10.85546875" customWidth="1"/>
    <col min="8970" max="8970" width="14" bestFit="1" customWidth="1"/>
    <col min="8971" max="8971" width="19.140625" customWidth="1"/>
    <col min="8973" max="8973" width="14.5703125" customWidth="1"/>
    <col min="8974" max="8974" width="13.7109375" customWidth="1"/>
    <col min="8975" max="8975" width="16.7109375" customWidth="1"/>
    <col min="8976" max="8976" width="17" customWidth="1"/>
    <col min="9220" max="9220" width="20.42578125" customWidth="1"/>
    <col min="9222" max="9222" width="11" customWidth="1"/>
    <col min="9224" max="9224" width="15.7109375" customWidth="1"/>
    <col min="9225" max="9225" width="10.85546875" customWidth="1"/>
    <col min="9226" max="9226" width="14" bestFit="1" customWidth="1"/>
    <col min="9227" max="9227" width="19.140625" customWidth="1"/>
    <col min="9229" max="9229" width="14.5703125" customWidth="1"/>
    <col min="9230" max="9230" width="13.7109375" customWidth="1"/>
    <col min="9231" max="9231" width="16.7109375" customWidth="1"/>
    <col min="9232" max="9232" width="17" customWidth="1"/>
    <col min="9476" max="9476" width="20.42578125" customWidth="1"/>
    <col min="9478" max="9478" width="11" customWidth="1"/>
    <col min="9480" max="9480" width="15.7109375" customWidth="1"/>
    <col min="9481" max="9481" width="10.85546875" customWidth="1"/>
    <col min="9482" max="9482" width="14" bestFit="1" customWidth="1"/>
    <col min="9483" max="9483" width="19.140625" customWidth="1"/>
    <col min="9485" max="9485" width="14.5703125" customWidth="1"/>
    <col min="9486" max="9486" width="13.7109375" customWidth="1"/>
    <col min="9487" max="9487" width="16.7109375" customWidth="1"/>
    <col min="9488" max="9488" width="17" customWidth="1"/>
    <col min="9732" max="9732" width="20.42578125" customWidth="1"/>
    <col min="9734" max="9734" width="11" customWidth="1"/>
    <col min="9736" max="9736" width="15.7109375" customWidth="1"/>
    <col min="9737" max="9737" width="10.85546875" customWidth="1"/>
    <col min="9738" max="9738" width="14" bestFit="1" customWidth="1"/>
    <col min="9739" max="9739" width="19.140625" customWidth="1"/>
    <col min="9741" max="9741" width="14.5703125" customWidth="1"/>
    <col min="9742" max="9742" width="13.7109375" customWidth="1"/>
    <col min="9743" max="9743" width="16.7109375" customWidth="1"/>
    <col min="9744" max="9744" width="17" customWidth="1"/>
    <col min="9988" max="9988" width="20.42578125" customWidth="1"/>
    <col min="9990" max="9990" width="11" customWidth="1"/>
    <col min="9992" max="9992" width="15.7109375" customWidth="1"/>
    <col min="9993" max="9993" width="10.85546875" customWidth="1"/>
    <col min="9994" max="9994" width="14" bestFit="1" customWidth="1"/>
    <col min="9995" max="9995" width="19.140625" customWidth="1"/>
    <col min="9997" max="9997" width="14.5703125" customWidth="1"/>
    <col min="9998" max="9998" width="13.7109375" customWidth="1"/>
    <col min="9999" max="9999" width="16.7109375" customWidth="1"/>
    <col min="10000" max="10000" width="17" customWidth="1"/>
    <col min="10244" max="10244" width="20.42578125" customWidth="1"/>
    <col min="10246" max="10246" width="11" customWidth="1"/>
    <col min="10248" max="10248" width="15.7109375" customWidth="1"/>
    <col min="10249" max="10249" width="10.85546875" customWidth="1"/>
    <col min="10250" max="10250" width="14" bestFit="1" customWidth="1"/>
    <col min="10251" max="10251" width="19.140625" customWidth="1"/>
    <col min="10253" max="10253" width="14.5703125" customWidth="1"/>
    <col min="10254" max="10254" width="13.7109375" customWidth="1"/>
    <col min="10255" max="10255" width="16.7109375" customWidth="1"/>
    <col min="10256" max="10256" width="17" customWidth="1"/>
    <col min="10500" max="10500" width="20.42578125" customWidth="1"/>
    <col min="10502" max="10502" width="11" customWidth="1"/>
    <col min="10504" max="10504" width="15.7109375" customWidth="1"/>
    <col min="10505" max="10505" width="10.85546875" customWidth="1"/>
    <col min="10506" max="10506" width="14" bestFit="1" customWidth="1"/>
    <col min="10507" max="10507" width="19.140625" customWidth="1"/>
    <col min="10509" max="10509" width="14.5703125" customWidth="1"/>
    <col min="10510" max="10510" width="13.7109375" customWidth="1"/>
    <col min="10511" max="10511" width="16.7109375" customWidth="1"/>
    <col min="10512" max="10512" width="17" customWidth="1"/>
    <col min="10756" max="10756" width="20.42578125" customWidth="1"/>
    <col min="10758" max="10758" width="11" customWidth="1"/>
    <col min="10760" max="10760" width="15.7109375" customWidth="1"/>
    <col min="10761" max="10761" width="10.85546875" customWidth="1"/>
    <col min="10762" max="10762" width="14" bestFit="1" customWidth="1"/>
    <col min="10763" max="10763" width="19.140625" customWidth="1"/>
    <col min="10765" max="10765" width="14.5703125" customWidth="1"/>
    <col min="10766" max="10766" width="13.7109375" customWidth="1"/>
    <col min="10767" max="10767" width="16.7109375" customWidth="1"/>
    <col min="10768" max="10768" width="17" customWidth="1"/>
    <col min="11012" max="11012" width="20.42578125" customWidth="1"/>
    <col min="11014" max="11014" width="11" customWidth="1"/>
    <col min="11016" max="11016" width="15.7109375" customWidth="1"/>
    <col min="11017" max="11017" width="10.85546875" customWidth="1"/>
    <col min="11018" max="11018" width="14" bestFit="1" customWidth="1"/>
    <col min="11019" max="11019" width="19.140625" customWidth="1"/>
    <col min="11021" max="11021" width="14.5703125" customWidth="1"/>
    <col min="11022" max="11022" width="13.7109375" customWidth="1"/>
    <col min="11023" max="11023" width="16.7109375" customWidth="1"/>
    <col min="11024" max="11024" width="17" customWidth="1"/>
    <col min="11268" max="11268" width="20.42578125" customWidth="1"/>
    <col min="11270" max="11270" width="11" customWidth="1"/>
    <col min="11272" max="11272" width="15.7109375" customWidth="1"/>
    <col min="11273" max="11273" width="10.85546875" customWidth="1"/>
    <col min="11274" max="11274" width="14" bestFit="1" customWidth="1"/>
    <col min="11275" max="11275" width="19.140625" customWidth="1"/>
    <col min="11277" max="11277" width="14.5703125" customWidth="1"/>
    <col min="11278" max="11278" width="13.7109375" customWidth="1"/>
    <col min="11279" max="11279" width="16.7109375" customWidth="1"/>
    <col min="11280" max="11280" width="17" customWidth="1"/>
    <col min="11524" max="11524" width="20.42578125" customWidth="1"/>
    <col min="11526" max="11526" width="11" customWidth="1"/>
    <col min="11528" max="11528" width="15.7109375" customWidth="1"/>
    <col min="11529" max="11529" width="10.85546875" customWidth="1"/>
    <col min="11530" max="11530" width="14" bestFit="1" customWidth="1"/>
    <col min="11531" max="11531" width="19.140625" customWidth="1"/>
    <col min="11533" max="11533" width="14.5703125" customWidth="1"/>
    <col min="11534" max="11534" width="13.7109375" customWidth="1"/>
    <col min="11535" max="11535" width="16.7109375" customWidth="1"/>
    <col min="11536" max="11536" width="17" customWidth="1"/>
    <col min="11780" max="11780" width="20.42578125" customWidth="1"/>
    <col min="11782" max="11782" width="11" customWidth="1"/>
    <col min="11784" max="11784" width="15.7109375" customWidth="1"/>
    <col min="11785" max="11785" width="10.85546875" customWidth="1"/>
    <col min="11786" max="11786" width="14" bestFit="1" customWidth="1"/>
    <col min="11787" max="11787" width="19.140625" customWidth="1"/>
    <col min="11789" max="11789" width="14.5703125" customWidth="1"/>
    <col min="11790" max="11790" width="13.7109375" customWidth="1"/>
    <col min="11791" max="11791" width="16.7109375" customWidth="1"/>
    <col min="11792" max="11792" width="17" customWidth="1"/>
    <col min="12036" max="12036" width="20.42578125" customWidth="1"/>
    <col min="12038" max="12038" width="11" customWidth="1"/>
    <col min="12040" max="12040" width="15.7109375" customWidth="1"/>
    <col min="12041" max="12041" width="10.85546875" customWidth="1"/>
    <col min="12042" max="12042" width="14" bestFit="1" customWidth="1"/>
    <col min="12043" max="12043" width="19.140625" customWidth="1"/>
    <col min="12045" max="12045" width="14.5703125" customWidth="1"/>
    <col min="12046" max="12046" width="13.7109375" customWidth="1"/>
    <col min="12047" max="12047" width="16.7109375" customWidth="1"/>
    <col min="12048" max="12048" width="17" customWidth="1"/>
    <col min="12292" max="12292" width="20.42578125" customWidth="1"/>
    <col min="12294" max="12294" width="11" customWidth="1"/>
    <col min="12296" max="12296" width="15.7109375" customWidth="1"/>
    <col min="12297" max="12297" width="10.85546875" customWidth="1"/>
    <col min="12298" max="12298" width="14" bestFit="1" customWidth="1"/>
    <col min="12299" max="12299" width="19.140625" customWidth="1"/>
    <col min="12301" max="12301" width="14.5703125" customWidth="1"/>
    <col min="12302" max="12302" width="13.7109375" customWidth="1"/>
    <col min="12303" max="12303" width="16.7109375" customWidth="1"/>
    <col min="12304" max="12304" width="17" customWidth="1"/>
    <col min="12548" max="12548" width="20.42578125" customWidth="1"/>
    <col min="12550" max="12550" width="11" customWidth="1"/>
    <col min="12552" max="12552" width="15.7109375" customWidth="1"/>
    <col min="12553" max="12553" width="10.85546875" customWidth="1"/>
    <col min="12554" max="12554" width="14" bestFit="1" customWidth="1"/>
    <col min="12555" max="12555" width="19.140625" customWidth="1"/>
    <col min="12557" max="12557" width="14.5703125" customWidth="1"/>
    <col min="12558" max="12558" width="13.7109375" customWidth="1"/>
    <col min="12559" max="12559" width="16.7109375" customWidth="1"/>
    <col min="12560" max="12560" width="17" customWidth="1"/>
    <col min="12804" max="12804" width="20.42578125" customWidth="1"/>
    <col min="12806" max="12806" width="11" customWidth="1"/>
    <col min="12808" max="12808" width="15.7109375" customWidth="1"/>
    <col min="12809" max="12809" width="10.85546875" customWidth="1"/>
    <col min="12810" max="12810" width="14" bestFit="1" customWidth="1"/>
    <col min="12811" max="12811" width="19.140625" customWidth="1"/>
    <col min="12813" max="12813" width="14.5703125" customWidth="1"/>
    <col min="12814" max="12814" width="13.7109375" customWidth="1"/>
    <col min="12815" max="12815" width="16.7109375" customWidth="1"/>
    <col min="12816" max="12816" width="17" customWidth="1"/>
    <col min="13060" max="13060" width="20.42578125" customWidth="1"/>
    <col min="13062" max="13062" width="11" customWidth="1"/>
    <col min="13064" max="13064" width="15.7109375" customWidth="1"/>
    <col min="13065" max="13065" width="10.85546875" customWidth="1"/>
    <col min="13066" max="13066" width="14" bestFit="1" customWidth="1"/>
    <col min="13067" max="13067" width="19.140625" customWidth="1"/>
    <col min="13069" max="13069" width="14.5703125" customWidth="1"/>
    <col min="13070" max="13070" width="13.7109375" customWidth="1"/>
    <col min="13071" max="13071" width="16.7109375" customWidth="1"/>
    <col min="13072" max="13072" width="17" customWidth="1"/>
    <col min="13316" max="13316" width="20.42578125" customWidth="1"/>
    <col min="13318" max="13318" width="11" customWidth="1"/>
    <col min="13320" max="13320" width="15.7109375" customWidth="1"/>
    <col min="13321" max="13321" width="10.85546875" customWidth="1"/>
    <col min="13322" max="13322" width="14" bestFit="1" customWidth="1"/>
    <col min="13323" max="13323" width="19.140625" customWidth="1"/>
    <col min="13325" max="13325" width="14.5703125" customWidth="1"/>
    <col min="13326" max="13326" width="13.7109375" customWidth="1"/>
    <col min="13327" max="13327" width="16.7109375" customWidth="1"/>
    <col min="13328" max="13328" width="17" customWidth="1"/>
    <col min="13572" max="13572" width="20.42578125" customWidth="1"/>
    <col min="13574" max="13574" width="11" customWidth="1"/>
    <col min="13576" max="13576" width="15.7109375" customWidth="1"/>
    <col min="13577" max="13577" width="10.85546875" customWidth="1"/>
    <col min="13578" max="13578" width="14" bestFit="1" customWidth="1"/>
    <col min="13579" max="13579" width="19.140625" customWidth="1"/>
    <col min="13581" max="13581" width="14.5703125" customWidth="1"/>
    <col min="13582" max="13582" width="13.7109375" customWidth="1"/>
    <col min="13583" max="13583" width="16.7109375" customWidth="1"/>
    <col min="13584" max="13584" width="17" customWidth="1"/>
    <col min="13828" max="13828" width="20.42578125" customWidth="1"/>
    <col min="13830" max="13830" width="11" customWidth="1"/>
    <col min="13832" max="13832" width="15.7109375" customWidth="1"/>
    <col min="13833" max="13833" width="10.85546875" customWidth="1"/>
    <col min="13834" max="13834" width="14" bestFit="1" customWidth="1"/>
    <col min="13835" max="13835" width="19.140625" customWidth="1"/>
    <col min="13837" max="13837" width="14.5703125" customWidth="1"/>
    <col min="13838" max="13838" width="13.7109375" customWidth="1"/>
    <col min="13839" max="13839" width="16.7109375" customWidth="1"/>
    <col min="13840" max="13840" width="17" customWidth="1"/>
    <col min="14084" max="14084" width="20.42578125" customWidth="1"/>
    <col min="14086" max="14086" width="11" customWidth="1"/>
    <col min="14088" max="14088" width="15.7109375" customWidth="1"/>
    <col min="14089" max="14089" width="10.85546875" customWidth="1"/>
    <col min="14090" max="14090" width="14" bestFit="1" customWidth="1"/>
    <col min="14091" max="14091" width="19.140625" customWidth="1"/>
    <col min="14093" max="14093" width="14.5703125" customWidth="1"/>
    <col min="14094" max="14094" width="13.7109375" customWidth="1"/>
    <col min="14095" max="14095" width="16.7109375" customWidth="1"/>
    <col min="14096" max="14096" width="17" customWidth="1"/>
    <col min="14340" max="14340" width="20.42578125" customWidth="1"/>
    <col min="14342" max="14342" width="11" customWidth="1"/>
    <col min="14344" max="14344" width="15.7109375" customWidth="1"/>
    <col min="14345" max="14345" width="10.85546875" customWidth="1"/>
    <col min="14346" max="14346" width="14" bestFit="1" customWidth="1"/>
    <col min="14347" max="14347" width="19.140625" customWidth="1"/>
    <col min="14349" max="14349" width="14.5703125" customWidth="1"/>
    <col min="14350" max="14350" width="13.7109375" customWidth="1"/>
    <col min="14351" max="14351" width="16.7109375" customWidth="1"/>
    <col min="14352" max="14352" width="17" customWidth="1"/>
    <col min="14596" max="14596" width="20.42578125" customWidth="1"/>
    <col min="14598" max="14598" width="11" customWidth="1"/>
    <col min="14600" max="14600" width="15.7109375" customWidth="1"/>
    <col min="14601" max="14601" width="10.85546875" customWidth="1"/>
    <col min="14602" max="14602" width="14" bestFit="1" customWidth="1"/>
    <col min="14603" max="14603" width="19.140625" customWidth="1"/>
    <col min="14605" max="14605" width="14.5703125" customWidth="1"/>
    <col min="14606" max="14606" width="13.7109375" customWidth="1"/>
    <col min="14607" max="14607" width="16.7109375" customWidth="1"/>
    <col min="14608" max="14608" width="17" customWidth="1"/>
    <col min="14852" max="14852" width="20.42578125" customWidth="1"/>
    <col min="14854" max="14854" width="11" customWidth="1"/>
    <col min="14856" max="14856" width="15.7109375" customWidth="1"/>
    <col min="14857" max="14857" width="10.85546875" customWidth="1"/>
    <col min="14858" max="14858" width="14" bestFit="1" customWidth="1"/>
    <col min="14859" max="14859" width="19.140625" customWidth="1"/>
    <col min="14861" max="14861" width="14.5703125" customWidth="1"/>
    <col min="14862" max="14862" width="13.7109375" customWidth="1"/>
    <col min="14863" max="14863" width="16.7109375" customWidth="1"/>
    <col min="14864" max="14864" width="17" customWidth="1"/>
    <col min="15108" max="15108" width="20.42578125" customWidth="1"/>
    <col min="15110" max="15110" width="11" customWidth="1"/>
    <col min="15112" max="15112" width="15.7109375" customWidth="1"/>
    <col min="15113" max="15113" width="10.85546875" customWidth="1"/>
    <col min="15114" max="15114" width="14" bestFit="1" customWidth="1"/>
    <col min="15115" max="15115" width="19.140625" customWidth="1"/>
    <col min="15117" max="15117" width="14.5703125" customWidth="1"/>
    <col min="15118" max="15118" width="13.7109375" customWidth="1"/>
    <col min="15119" max="15119" width="16.7109375" customWidth="1"/>
    <col min="15120" max="15120" width="17" customWidth="1"/>
    <col min="15364" max="15364" width="20.42578125" customWidth="1"/>
    <col min="15366" max="15366" width="11" customWidth="1"/>
    <col min="15368" max="15368" width="15.7109375" customWidth="1"/>
    <col min="15369" max="15369" width="10.85546875" customWidth="1"/>
    <col min="15370" max="15370" width="14" bestFit="1" customWidth="1"/>
    <col min="15371" max="15371" width="19.140625" customWidth="1"/>
    <col min="15373" max="15373" width="14.5703125" customWidth="1"/>
    <col min="15374" max="15374" width="13.7109375" customWidth="1"/>
    <col min="15375" max="15375" width="16.7109375" customWidth="1"/>
    <col min="15376" max="15376" width="17" customWidth="1"/>
    <col min="15620" max="15620" width="20.42578125" customWidth="1"/>
    <col min="15622" max="15622" width="11" customWidth="1"/>
    <col min="15624" max="15624" width="15.7109375" customWidth="1"/>
    <col min="15625" max="15625" width="10.85546875" customWidth="1"/>
    <col min="15626" max="15626" width="14" bestFit="1" customWidth="1"/>
    <col min="15627" max="15627" width="19.140625" customWidth="1"/>
    <col min="15629" max="15629" width="14.5703125" customWidth="1"/>
    <col min="15630" max="15630" width="13.7109375" customWidth="1"/>
    <col min="15631" max="15631" width="16.7109375" customWidth="1"/>
    <col min="15632" max="15632" width="17" customWidth="1"/>
    <col min="15876" max="15876" width="20.42578125" customWidth="1"/>
    <col min="15878" max="15878" width="11" customWidth="1"/>
    <col min="15880" max="15880" width="15.7109375" customWidth="1"/>
    <col min="15881" max="15881" width="10.85546875" customWidth="1"/>
    <col min="15882" max="15882" width="14" bestFit="1" customWidth="1"/>
    <col min="15883" max="15883" width="19.140625" customWidth="1"/>
    <col min="15885" max="15885" width="14.5703125" customWidth="1"/>
    <col min="15886" max="15886" width="13.7109375" customWidth="1"/>
    <col min="15887" max="15887" width="16.7109375" customWidth="1"/>
    <col min="15888" max="15888" width="17" customWidth="1"/>
    <col min="16132" max="16132" width="20.42578125" customWidth="1"/>
    <col min="16134" max="16134" width="11" customWidth="1"/>
    <col min="16136" max="16136" width="15.7109375" customWidth="1"/>
    <col min="16137" max="16137" width="10.85546875" customWidth="1"/>
    <col min="16138" max="16138" width="14" bestFit="1" customWidth="1"/>
    <col min="16139" max="16139" width="19.140625" customWidth="1"/>
    <col min="16141" max="16141" width="14.5703125" customWidth="1"/>
    <col min="16142" max="16142" width="13.7109375" customWidth="1"/>
    <col min="16143" max="16143" width="16.7109375" customWidth="1"/>
    <col min="16144" max="16144" width="17" customWidth="1"/>
  </cols>
  <sheetData>
    <row r="2" spans="1:25" ht="15.75" thickBot="1" x14ac:dyDescent="0.3">
      <c r="G2" s="31"/>
    </row>
    <row r="3" spans="1:25" ht="21" thickBot="1" x14ac:dyDescent="0.3">
      <c r="B3" s="637" t="s">
        <v>80</v>
      </c>
      <c r="C3" s="637"/>
      <c r="D3" s="465"/>
      <c r="E3" s="465"/>
      <c r="F3" s="20">
        <v>0</v>
      </c>
    </row>
    <row r="4" spans="1:25" ht="21" x14ac:dyDescent="0.25">
      <c r="Q4" s="561"/>
      <c r="R4" s="561"/>
      <c r="S4" s="561"/>
      <c r="T4" s="561"/>
      <c r="V4" s="561"/>
      <c r="W4" s="561"/>
      <c r="X4" s="561"/>
      <c r="Y4" s="561"/>
    </row>
    <row r="5" spans="1:25" ht="43.5" customHeight="1" thickBot="1" x14ac:dyDescent="0.3">
      <c r="E5" s="265" t="s">
        <v>217</v>
      </c>
    </row>
    <row r="6" spans="1:25" ht="38.25" customHeight="1" thickBot="1" x14ac:dyDescent="0.3">
      <c r="A6" s="21" t="s">
        <v>81</v>
      </c>
      <c r="B6" s="638" t="s">
        <v>82</v>
      </c>
      <c r="C6" s="639"/>
      <c r="D6" s="510" t="s">
        <v>107</v>
      </c>
      <c r="E6" s="517" t="s">
        <v>108</v>
      </c>
      <c r="G6" s="22" t="s">
        <v>83</v>
      </c>
      <c r="H6" s="23" t="s">
        <v>84</v>
      </c>
      <c r="I6" s="24" t="s">
        <v>85</v>
      </c>
      <c r="J6" s="25" t="s">
        <v>86</v>
      </c>
      <c r="L6" s="22" t="s">
        <v>87</v>
      </c>
      <c r="M6" s="23" t="s">
        <v>84</v>
      </c>
      <c r="N6" s="24" t="s">
        <v>85</v>
      </c>
      <c r="O6" s="25" t="s">
        <v>86</v>
      </c>
      <c r="Q6" s="32"/>
      <c r="R6" s="33"/>
      <c r="S6" s="34"/>
      <c r="T6" s="35"/>
      <c r="V6" s="32"/>
      <c r="W6" s="33"/>
      <c r="X6" s="34"/>
      <c r="Y6" s="35"/>
    </row>
    <row r="7" spans="1:25" x14ac:dyDescent="0.25">
      <c r="A7" s="313" t="s">
        <v>44</v>
      </c>
      <c r="B7" s="507">
        <f>'Cardápio CMEI Tarde 2017'!B166</f>
        <v>8</v>
      </c>
      <c r="C7" s="508" t="s">
        <v>88</v>
      </c>
      <c r="D7" s="508">
        <v>1</v>
      </c>
      <c r="E7" s="516">
        <f t="shared" ref="E7:E51" si="0">B7*D7</f>
        <v>8</v>
      </c>
      <c r="G7" s="26">
        <f>E7*$F$3/400</f>
        <v>0</v>
      </c>
      <c r="H7" s="14" t="s">
        <v>38</v>
      </c>
      <c r="I7" s="29"/>
      <c r="J7" s="27">
        <f t="shared" ref="J7:J51" si="1">G7*I7</f>
        <v>0</v>
      </c>
      <c r="L7" s="28">
        <f t="shared" ref="L7:L51" si="2">G7*4</f>
        <v>0</v>
      </c>
      <c r="M7" s="14" t="s">
        <v>38</v>
      </c>
      <c r="N7" s="29"/>
      <c r="O7" s="27">
        <f t="shared" ref="O7:O51" si="3">L7*N7</f>
        <v>0</v>
      </c>
      <c r="Q7" s="2"/>
      <c r="R7" s="36"/>
      <c r="S7" s="37"/>
      <c r="T7" s="12"/>
      <c r="V7" s="2"/>
      <c r="W7" s="36"/>
      <c r="X7" s="37"/>
      <c r="Y7" s="12"/>
    </row>
    <row r="8" spans="1:25" x14ac:dyDescent="0.25">
      <c r="A8" s="7" t="s">
        <v>28</v>
      </c>
      <c r="B8" s="1">
        <f>'Cardápio CMEI Tarde 2017'!B47+'Cardápio CMEI Tarde 2017'!L55+'Cardápio CMEI Tarde 2017'!K176+'Cardápio CMEI Tarde 2017'!B76+'Cardápio CMEI Tarde 2017'!B168</f>
        <v>60</v>
      </c>
      <c r="C8" s="57" t="s">
        <v>88</v>
      </c>
      <c r="D8" s="57">
        <v>1</v>
      </c>
      <c r="E8" s="266">
        <f t="shared" si="0"/>
        <v>60</v>
      </c>
      <c r="G8" s="26">
        <f>E8*$F$3/1000</f>
        <v>0</v>
      </c>
      <c r="H8" s="14" t="s">
        <v>25</v>
      </c>
      <c r="I8" s="29"/>
      <c r="J8" s="27">
        <f t="shared" si="1"/>
        <v>0</v>
      </c>
      <c r="L8" s="28">
        <f t="shared" si="2"/>
        <v>0</v>
      </c>
      <c r="M8" s="14" t="s">
        <v>25</v>
      </c>
      <c r="N8" s="29"/>
      <c r="O8" s="27">
        <f t="shared" si="3"/>
        <v>0</v>
      </c>
      <c r="Q8" s="10"/>
      <c r="R8" s="36"/>
      <c r="S8" s="37"/>
      <c r="T8" s="12"/>
      <c r="V8" s="10"/>
      <c r="W8" s="36"/>
      <c r="X8" s="37"/>
      <c r="Y8" s="12"/>
    </row>
    <row r="9" spans="1:25" x14ac:dyDescent="0.25">
      <c r="A9" s="3" t="s">
        <v>3</v>
      </c>
      <c r="B9" s="307">
        <f>'Cardápio CMEI Tarde 2017'!$B$56+'Cardápio CMEI Tarde 2017'!$B$91+'Cardápio CMEI Tarde 2017'!$B$117+'Cardápio CMEI Tarde 2017'!$B$153</f>
        <v>2.5</v>
      </c>
      <c r="C9" s="57" t="s">
        <v>88</v>
      </c>
      <c r="D9" s="57">
        <v>1.18</v>
      </c>
      <c r="E9" s="266">
        <f t="shared" si="0"/>
        <v>2.9499999999999997</v>
      </c>
      <c r="G9" s="26">
        <f>E9*$F$3/1000</f>
        <v>0</v>
      </c>
      <c r="H9" s="14" t="s">
        <v>25</v>
      </c>
      <c r="I9" s="29"/>
      <c r="J9" s="27">
        <f t="shared" si="1"/>
        <v>0</v>
      </c>
      <c r="L9" s="28">
        <f t="shared" si="2"/>
        <v>0</v>
      </c>
      <c r="M9" s="14" t="s">
        <v>25</v>
      </c>
      <c r="N9" s="29"/>
      <c r="O9" s="27">
        <f t="shared" si="3"/>
        <v>0</v>
      </c>
      <c r="Q9" s="2"/>
      <c r="R9" s="36"/>
      <c r="S9" s="37"/>
      <c r="T9" s="12"/>
      <c r="V9" s="2"/>
      <c r="W9" s="36"/>
      <c r="X9" s="37"/>
      <c r="Y9" s="12"/>
    </row>
    <row r="10" spans="1:25" s="467" customFormat="1" x14ac:dyDescent="0.25">
      <c r="A10" s="3" t="s">
        <v>32</v>
      </c>
      <c r="B10" s="466">
        <v>0</v>
      </c>
      <c r="C10" s="57" t="s">
        <v>88</v>
      </c>
      <c r="D10" s="57">
        <v>1</v>
      </c>
      <c r="E10" s="266">
        <f t="shared" si="0"/>
        <v>0</v>
      </c>
      <c r="G10" s="468">
        <f>E10*$F$3/200</f>
        <v>0</v>
      </c>
      <c r="H10" s="14" t="s">
        <v>89</v>
      </c>
      <c r="I10" s="394"/>
      <c r="J10" s="469">
        <f t="shared" si="1"/>
        <v>0</v>
      </c>
      <c r="L10" s="470">
        <f t="shared" si="2"/>
        <v>0</v>
      </c>
      <c r="M10" s="14" t="s">
        <v>89</v>
      </c>
      <c r="N10" s="394"/>
      <c r="O10" s="469">
        <f t="shared" si="3"/>
        <v>0</v>
      </c>
      <c r="Q10" s="2"/>
      <c r="R10" s="471"/>
      <c r="S10" s="472"/>
      <c r="T10" s="12"/>
      <c r="U10" s="473"/>
      <c r="V10" s="2"/>
      <c r="W10" s="471"/>
      <c r="X10" s="472"/>
      <c r="Y10" s="12"/>
    </row>
    <row r="11" spans="1:25" x14ac:dyDescent="0.25">
      <c r="A11" s="7" t="s">
        <v>49</v>
      </c>
      <c r="B11" s="1">
        <v>0</v>
      </c>
      <c r="C11" s="57" t="s">
        <v>88</v>
      </c>
      <c r="D11" s="57">
        <v>1</v>
      </c>
      <c r="E11" s="266">
        <f t="shared" si="0"/>
        <v>0</v>
      </c>
      <c r="G11" s="26">
        <f t="shared" ref="G11:G16" si="4">E11*$F$3/1000</f>
        <v>0</v>
      </c>
      <c r="H11" s="14" t="s">
        <v>25</v>
      </c>
      <c r="I11" s="29"/>
      <c r="J11" s="27">
        <f t="shared" si="1"/>
        <v>0</v>
      </c>
      <c r="L11" s="28">
        <f t="shared" si="2"/>
        <v>0</v>
      </c>
      <c r="M11" s="14" t="s">
        <v>25</v>
      </c>
      <c r="N11" s="29"/>
      <c r="O11" s="27">
        <f t="shared" si="3"/>
        <v>0</v>
      </c>
      <c r="Q11" s="10"/>
      <c r="R11" s="36"/>
      <c r="S11" s="37"/>
      <c r="T11" s="12"/>
      <c r="V11" s="10"/>
      <c r="W11" s="36"/>
      <c r="X11" s="37"/>
      <c r="Y11" s="12"/>
    </row>
    <row r="12" spans="1:25" x14ac:dyDescent="0.25">
      <c r="A12" s="7" t="s">
        <v>63</v>
      </c>
      <c r="B12" s="1">
        <f>'Cardápio CMEI Tarde 2017'!B115</f>
        <v>25</v>
      </c>
      <c r="C12" s="57" t="s">
        <v>88</v>
      </c>
      <c r="D12" s="57">
        <v>1</v>
      </c>
      <c r="E12" s="266">
        <f t="shared" si="0"/>
        <v>25</v>
      </c>
      <c r="G12" s="26">
        <f t="shared" si="4"/>
        <v>0</v>
      </c>
      <c r="H12" s="14" t="s">
        <v>25</v>
      </c>
      <c r="I12" s="29"/>
      <c r="J12" s="27">
        <f t="shared" si="1"/>
        <v>0</v>
      </c>
      <c r="L12" s="28">
        <f t="shared" si="2"/>
        <v>0</v>
      </c>
      <c r="M12" s="14" t="s">
        <v>25</v>
      </c>
      <c r="N12" s="29"/>
      <c r="O12" s="27">
        <f t="shared" si="3"/>
        <v>0</v>
      </c>
      <c r="Q12" s="10"/>
      <c r="R12" s="36"/>
      <c r="S12" s="37"/>
      <c r="T12" s="12"/>
      <c r="V12" s="10"/>
      <c r="W12" s="36"/>
      <c r="X12" s="37"/>
      <c r="Y12" s="12"/>
    </row>
    <row r="13" spans="1:25" x14ac:dyDescent="0.25">
      <c r="A13" s="7" t="s">
        <v>27</v>
      </c>
      <c r="B13" s="463">
        <f>'Cardápio CMEI Tarde 2017'!B43+'Cardápio CMEI Tarde 2017'!B104+'Cardápio CMEI Tarde 2017'!K115+'Cardápio CMEI Tarde 2017'!B74</f>
        <v>140</v>
      </c>
      <c r="C13" s="57" t="s">
        <v>88</v>
      </c>
      <c r="D13" s="57">
        <v>1.55</v>
      </c>
      <c r="E13" s="266">
        <f t="shared" si="0"/>
        <v>217</v>
      </c>
      <c r="G13" s="26">
        <f t="shared" si="4"/>
        <v>0</v>
      </c>
      <c r="H13" s="14" t="s">
        <v>25</v>
      </c>
      <c r="I13" s="29"/>
      <c r="J13" s="27">
        <f t="shared" si="1"/>
        <v>0</v>
      </c>
      <c r="L13" s="28">
        <f t="shared" si="2"/>
        <v>0</v>
      </c>
      <c r="M13" s="14" t="s">
        <v>25</v>
      </c>
      <c r="N13" s="29"/>
      <c r="O13" s="27">
        <f t="shared" si="3"/>
        <v>0</v>
      </c>
      <c r="Q13" s="10"/>
      <c r="R13" s="36"/>
      <c r="S13" s="37"/>
      <c r="T13" s="12"/>
      <c r="V13" s="10"/>
      <c r="W13" s="36"/>
      <c r="X13" s="37"/>
      <c r="Y13" s="12"/>
    </row>
    <row r="14" spans="1:25" x14ac:dyDescent="0.25">
      <c r="A14" s="3" t="s">
        <v>65</v>
      </c>
      <c r="B14" s="463">
        <f>'Cardápio CMEI Tarde 2017'!B146</f>
        <v>20</v>
      </c>
      <c r="C14" s="57" t="s">
        <v>88</v>
      </c>
      <c r="D14" s="57">
        <v>1.21</v>
      </c>
      <c r="E14" s="266">
        <f t="shared" si="0"/>
        <v>24.2</v>
      </c>
      <c r="G14" s="26">
        <f t="shared" si="4"/>
        <v>0</v>
      </c>
      <c r="H14" s="14" t="s">
        <v>25</v>
      </c>
      <c r="I14" s="29"/>
      <c r="J14" s="27">
        <f t="shared" si="1"/>
        <v>0</v>
      </c>
      <c r="L14" s="28">
        <f t="shared" si="2"/>
        <v>0</v>
      </c>
      <c r="M14" s="14" t="s">
        <v>25</v>
      </c>
      <c r="N14" s="29"/>
      <c r="O14" s="27">
        <f t="shared" si="3"/>
        <v>0</v>
      </c>
      <c r="Q14" s="2"/>
      <c r="R14" s="36"/>
      <c r="S14" s="37"/>
      <c r="T14" s="12"/>
      <c r="V14" s="2"/>
      <c r="W14" s="36"/>
      <c r="X14" s="37"/>
      <c r="Y14" s="12"/>
    </row>
    <row r="15" spans="1:25" x14ac:dyDescent="0.25">
      <c r="A15" s="3" t="s">
        <v>52</v>
      </c>
      <c r="B15" s="1">
        <f>'Cardápio CMEI Tarde 2017'!B85+'Cardápio CMEI Tarde 2017'!B147</f>
        <v>25</v>
      </c>
      <c r="C15" s="57" t="s">
        <v>88</v>
      </c>
      <c r="D15" s="57">
        <v>1.1599999999999999</v>
      </c>
      <c r="E15" s="266">
        <f t="shared" si="0"/>
        <v>28.999999999999996</v>
      </c>
      <c r="G15" s="26">
        <f t="shared" si="4"/>
        <v>0</v>
      </c>
      <c r="H15" s="14" t="s">
        <v>25</v>
      </c>
      <c r="I15" s="29"/>
      <c r="J15" s="27">
        <f t="shared" si="1"/>
        <v>0</v>
      </c>
      <c r="L15" s="28">
        <f t="shared" si="2"/>
        <v>0</v>
      </c>
      <c r="M15" s="14" t="s">
        <v>25</v>
      </c>
      <c r="N15" s="29"/>
      <c r="O15" s="27">
        <f t="shared" si="3"/>
        <v>0</v>
      </c>
      <c r="Q15" s="2"/>
      <c r="R15" s="36"/>
      <c r="S15" s="37"/>
      <c r="T15" s="12"/>
      <c r="V15" s="2"/>
      <c r="W15" s="36"/>
      <c r="X15" s="37"/>
      <c r="Y15" s="12"/>
    </row>
    <row r="16" spans="1:25" x14ac:dyDescent="0.25">
      <c r="A16" s="6" t="s">
        <v>48</v>
      </c>
      <c r="B16" s="1">
        <f>'Cardápio CMEI Tarde 2017'!B134</f>
        <v>150</v>
      </c>
      <c r="C16" s="57" t="s">
        <v>90</v>
      </c>
      <c r="D16" s="57">
        <v>1</v>
      </c>
      <c r="E16" s="266">
        <f t="shared" si="0"/>
        <v>150</v>
      </c>
      <c r="G16" s="26">
        <f t="shared" si="4"/>
        <v>0</v>
      </c>
      <c r="H16" s="14" t="s">
        <v>37</v>
      </c>
      <c r="I16" s="29"/>
      <c r="J16" s="27">
        <f>G16*I16</f>
        <v>0</v>
      </c>
      <c r="L16" s="28">
        <f>G16*4</f>
        <v>0</v>
      </c>
      <c r="M16" s="14" t="s">
        <v>37</v>
      </c>
      <c r="N16" s="29"/>
      <c r="O16" s="27">
        <f>L16*N16</f>
        <v>0</v>
      </c>
      <c r="Q16" s="13"/>
      <c r="R16" s="36"/>
      <c r="S16" s="37"/>
      <c r="T16" s="12"/>
      <c r="V16" s="13"/>
      <c r="W16" s="36"/>
      <c r="X16" s="37"/>
      <c r="Y16" s="12"/>
    </row>
    <row r="17" spans="1:25" ht="15" customHeight="1" x14ac:dyDescent="0.25">
      <c r="A17" s="3" t="s">
        <v>202</v>
      </c>
      <c r="B17" s="1">
        <f>'Cardápio CMEI Tarde 2017'!K166</f>
        <v>21</v>
      </c>
      <c r="C17" s="57" t="s">
        <v>88</v>
      </c>
      <c r="D17" s="57">
        <v>1</v>
      </c>
      <c r="E17" s="266">
        <f t="shared" si="0"/>
        <v>21</v>
      </c>
      <c r="G17" s="26">
        <f>E17*$F$3/400</f>
        <v>0</v>
      </c>
      <c r="H17" s="14" t="s">
        <v>203</v>
      </c>
      <c r="I17" s="29"/>
      <c r="J17" s="27">
        <f t="shared" ref="J17:J18" si="5">G17*I17</f>
        <v>0</v>
      </c>
      <c r="L17" s="28">
        <f t="shared" ref="L17:L18" si="6">G17*4</f>
        <v>0</v>
      </c>
      <c r="M17" s="14" t="s">
        <v>204</v>
      </c>
      <c r="N17" s="29"/>
      <c r="O17" s="27">
        <f t="shared" ref="O17:O18" si="7">L17*N17</f>
        <v>0</v>
      </c>
    </row>
    <row r="18" spans="1:25" ht="15" customHeight="1" x14ac:dyDescent="0.25">
      <c r="A18" s="3" t="s">
        <v>198</v>
      </c>
      <c r="B18" s="1">
        <f>'Cardápio CMEI Tarde 2017'!K134</f>
        <v>15</v>
      </c>
      <c r="C18" s="57" t="s">
        <v>88</v>
      </c>
      <c r="D18" s="57">
        <v>1</v>
      </c>
      <c r="E18" s="266">
        <f t="shared" si="0"/>
        <v>15</v>
      </c>
      <c r="G18" s="26">
        <f>E18*$F$3/400</f>
        <v>0</v>
      </c>
      <c r="H18" s="14" t="s">
        <v>203</v>
      </c>
      <c r="I18" s="29"/>
      <c r="J18" s="27">
        <f t="shared" si="5"/>
        <v>0</v>
      </c>
      <c r="L18" s="28">
        <f t="shared" si="6"/>
        <v>0</v>
      </c>
      <c r="M18" s="14" t="s">
        <v>204</v>
      </c>
      <c r="N18" s="29"/>
      <c r="O18" s="27">
        <f t="shared" si="7"/>
        <v>0</v>
      </c>
    </row>
    <row r="19" spans="1:25" x14ac:dyDescent="0.25">
      <c r="A19" s="3" t="s">
        <v>143</v>
      </c>
      <c r="B19" s="1">
        <v>0</v>
      </c>
      <c r="C19" s="57" t="s">
        <v>88</v>
      </c>
      <c r="D19" s="57">
        <v>1.1399999999999999</v>
      </c>
      <c r="E19" s="266">
        <f t="shared" si="0"/>
        <v>0</v>
      </c>
      <c r="G19" s="26">
        <f t="shared" ref="G19:G23" si="8">E19*$F$3/1000</f>
        <v>0</v>
      </c>
      <c r="H19" s="14" t="s">
        <v>25</v>
      </c>
      <c r="I19" s="29"/>
      <c r="J19" s="27">
        <f t="shared" si="1"/>
        <v>0</v>
      </c>
      <c r="L19" s="28">
        <f t="shared" si="2"/>
        <v>0</v>
      </c>
      <c r="M19" s="14" t="s">
        <v>25</v>
      </c>
      <c r="N19" s="29"/>
      <c r="O19" s="27">
        <f t="shared" si="3"/>
        <v>0</v>
      </c>
      <c r="Q19" s="2"/>
      <c r="R19" s="36"/>
      <c r="S19" s="37"/>
      <c r="T19" s="12"/>
      <c r="V19" s="2"/>
      <c r="W19" s="36"/>
      <c r="X19" s="37"/>
      <c r="Y19" s="12"/>
    </row>
    <row r="20" spans="1:25" x14ac:dyDescent="0.25">
      <c r="A20" s="3" t="s">
        <v>106</v>
      </c>
      <c r="B20" s="1">
        <f>'Cardápio CMEI Tarde 2017'!B55+'Cardápio CMEI Tarde 2017'!B116</f>
        <v>50</v>
      </c>
      <c r="C20" s="57" t="s">
        <v>88</v>
      </c>
      <c r="D20" s="57">
        <v>1</v>
      </c>
      <c r="E20" s="266">
        <f t="shared" si="0"/>
        <v>50</v>
      </c>
      <c r="G20" s="26">
        <f t="shared" si="8"/>
        <v>0</v>
      </c>
      <c r="H20" s="14" t="s">
        <v>25</v>
      </c>
      <c r="I20" s="29"/>
      <c r="J20" s="27">
        <f t="shared" si="1"/>
        <v>0</v>
      </c>
      <c r="L20" s="28">
        <f t="shared" si="2"/>
        <v>0</v>
      </c>
      <c r="M20" s="14" t="s">
        <v>25</v>
      </c>
      <c r="N20" s="29"/>
      <c r="O20" s="27">
        <f t="shared" si="3"/>
        <v>0</v>
      </c>
      <c r="Q20" s="2"/>
      <c r="R20" s="36"/>
      <c r="S20" s="37"/>
      <c r="T20" s="12"/>
      <c r="V20" s="2"/>
      <c r="W20" s="36"/>
      <c r="X20" s="37"/>
      <c r="Y20" s="12"/>
    </row>
    <row r="21" spans="1:25" x14ac:dyDescent="0.25">
      <c r="A21" s="3" t="s">
        <v>2</v>
      </c>
      <c r="B21" s="463">
        <f>'Cardápio CMEI Tarde 2017'!B60+'Cardápio CMEI Tarde 2017'!B89+'Cardápio CMEI Tarde 2017'!B120+'Cardápio CMEI Tarde 2017'!B152</f>
        <v>20</v>
      </c>
      <c r="C21" s="57" t="s">
        <v>88</v>
      </c>
      <c r="D21" s="57">
        <v>1.08</v>
      </c>
      <c r="E21" s="266">
        <f t="shared" si="0"/>
        <v>21.6</v>
      </c>
      <c r="G21" s="26">
        <f t="shared" si="8"/>
        <v>0</v>
      </c>
      <c r="H21" s="14" t="s">
        <v>25</v>
      </c>
      <c r="I21" s="29"/>
      <c r="J21" s="27">
        <f t="shared" si="1"/>
        <v>0</v>
      </c>
      <c r="L21" s="28">
        <f t="shared" si="2"/>
        <v>0</v>
      </c>
      <c r="M21" s="14" t="s">
        <v>25</v>
      </c>
      <c r="N21" s="29"/>
      <c r="O21" s="27">
        <f t="shared" si="3"/>
        <v>0</v>
      </c>
      <c r="Q21" s="2"/>
      <c r="R21" s="36"/>
      <c r="S21" s="37"/>
      <c r="T21" s="12"/>
      <c r="V21" s="2"/>
      <c r="W21" s="36"/>
      <c r="X21" s="37"/>
      <c r="Y21" s="12"/>
    </row>
    <row r="22" spans="1:25" x14ac:dyDescent="0.25">
      <c r="A22" s="3" t="s">
        <v>7</v>
      </c>
      <c r="B22" s="1">
        <f>'Cardápio CMEI Tarde 2017'!B86+'Cardápio CMEI Tarde 2017'!B148</f>
        <v>30</v>
      </c>
      <c r="C22" s="57" t="s">
        <v>88</v>
      </c>
      <c r="D22" s="57">
        <v>1.18</v>
      </c>
      <c r="E22" s="266">
        <f t="shared" si="0"/>
        <v>35.4</v>
      </c>
      <c r="G22" s="26">
        <f t="shared" si="8"/>
        <v>0</v>
      </c>
      <c r="H22" s="14" t="s">
        <v>25</v>
      </c>
      <c r="I22" s="29"/>
      <c r="J22" s="27">
        <f t="shared" si="1"/>
        <v>0</v>
      </c>
      <c r="L22" s="28">
        <f t="shared" si="2"/>
        <v>0</v>
      </c>
      <c r="M22" s="14" t="s">
        <v>25</v>
      </c>
      <c r="N22" s="29"/>
      <c r="O22" s="27">
        <f t="shared" si="3"/>
        <v>0</v>
      </c>
      <c r="Q22" s="2"/>
      <c r="R22" s="36"/>
      <c r="S22" s="37"/>
      <c r="T22" s="12"/>
      <c r="V22" s="2"/>
      <c r="W22" s="36"/>
      <c r="X22" s="37"/>
      <c r="Y22" s="12"/>
    </row>
    <row r="23" spans="1:25" x14ac:dyDescent="0.25">
      <c r="A23" s="7" t="s">
        <v>8</v>
      </c>
      <c r="B23" s="1">
        <f>'Cardápio CMEI Tarde 2017'!B87+'Cardápio CMEI Tarde 2017'!B149</f>
        <v>30</v>
      </c>
      <c r="C23" s="57" t="s">
        <v>88</v>
      </c>
      <c r="D23" s="57">
        <v>1.61</v>
      </c>
      <c r="E23" s="266">
        <f t="shared" si="0"/>
        <v>48.300000000000004</v>
      </c>
      <c r="G23" s="26">
        <f t="shared" si="8"/>
        <v>0</v>
      </c>
      <c r="H23" s="14" t="s">
        <v>25</v>
      </c>
      <c r="I23" s="29"/>
      <c r="J23" s="27">
        <f t="shared" si="1"/>
        <v>0</v>
      </c>
      <c r="L23" s="28">
        <f t="shared" si="2"/>
        <v>0</v>
      </c>
      <c r="M23" s="14" t="s">
        <v>25</v>
      </c>
      <c r="N23" s="29"/>
      <c r="O23" s="27">
        <f t="shared" si="3"/>
        <v>0</v>
      </c>
      <c r="Q23" s="10"/>
      <c r="R23" s="36"/>
      <c r="S23" s="37"/>
      <c r="T23" s="12"/>
      <c r="V23" s="10"/>
      <c r="W23" s="36"/>
      <c r="X23" s="37"/>
      <c r="Y23" s="12"/>
    </row>
    <row r="24" spans="1:25" x14ac:dyDescent="0.25">
      <c r="A24" s="3" t="s">
        <v>12</v>
      </c>
      <c r="B24" s="1">
        <f>'Cardápio CMEI Tarde 2017'!B57+'Cardápio CMEI Tarde 2017'!B90+'Cardápio CMEI Tarde 2017'!B118+'Cardápio CMEI Tarde 2017'!B154</f>
        <v>1.6</v>
      </c>
      <c r="C24" s="57" t="s">
        <v>88</v>
      </c>
      <c r="D24" s="57">
        <v>1.35</v>
      </c>
      <c r="E24" s="266">
        <f t="shared" si="0"/>
        <v>2.16</v>
      </c>
      <c r="G24" s="26">
        <f>E24*$F$3/30</f>
        <v>0</v>
      </c>
      <c r="H24" s="14" t="s">
        <v>39</v>
      </c>
      <c r="I24" s="29"/>
      <c r="J24" s="27">
        <f t="shared" si="1"/>
        <v>0</v>
      </c>
      <c r="L24" s="28">
        <f t="shared" si="2"/>
        <v>0</v>
      </c>
      <c r="M24" s="14" t="s">
        <v>39</v>
      </c>
      <c r="N24" s="29"/>
      <c r="O24" s="27">
        <f t="shared" si="3"/>
        <v>0</v>
      </c>
      <c r="Q24" s="2"/>
      <c r="R24" s="36"/>
      <c r="S24" s="37"/>
      <c r="T24" s="12"/>
      <c r="V24" s="2"/>
      <c r="W24" s="36"/>
      <c r="X24" s="37"/>
      <c r="Y24" s="12"/>
    </row>
    <row r="25" spans="1:25" x14ac:dyDescent="0.25">
      <c r="A25" s="7" t="s">
        <v>6</v>
      </c>
      <c r="B25" s="1">
        <f>'Cardápio CMEI Tarde 2017'!B58+'Cardápio CMEI Tarde 2017'!B92+'Cardápio CMEI Tarde 2017'!B119+'Cardápio CMEI Tarde 2017'!B155</f>
        <v>2.8</v>
      </c>
      <c r="C25" s="57" t="s">
        <v>88</v>
      </c>
      <c r="D25" s="57">
        <v>1</v>
      </c>
      <c r="E25" s="266">
        <f t="shared" si="0"/>
        <v>2.8</v>
      </c>
      <c r="G25" s="26">
        <f>E25*$F$3/100</f>
        <v>0</v>
      </c>
      <c r="H25" s="5" t="s">
        <v>36</v>
      </c>
      <c r="I25" s="29"/>
      <c r="J25" s="27">
        <f t="shared" si="1"/>
        <v>0</v>
      </c>
      <c r="L25" s="28">
        <f t="shared" si="2"/>
        <v>0</v>
      </c>
      <c r="M25" s="5" t="s">
        <v>36</v>
      </c>
      <c r="N25" s="29"/>
      <c r="O25" s="27">
        <f t="shared" si="3"/>
        <v>0</v>
      </c>
      <c r="Q25" s="10"/>
      <c r="R25" s="36"/>
      <c r="S25" s="37"/>
      <c r="T25" s="11"/>
      <c r="V25" s="10"/>
      <c r="W25" s="36"/>
      <c r="X25" s="37"/>
      <c r="Y25" s="11"/>
    </row>
    <row r="26" spans="1:25" x14ac:dyDescent="0.25">
      <c r="A26" s="7" t="s">
        <v>73</v>
      </c>
      <c r="B26" s="1">
        <v>0</v>
      </c>
      <c r="C26" s="57" t="s">
        <v>88</v>
      </c>
      <c r="D26" s="57">
        <v>1.48</v>
      </c>
      <c r="E26" s="266">
        <f t="shared" si="0"/>
        <v>0</v>
      </c>
      <c r="G26" s="26">
        <f>E26*$F$3/1000</f>
        <v>0</v>
      </c>
      <c r="H26" s="14" t="s">
        <v>25</v>
      </c>
      <c r="I26" s="29"/>
      <c r="J26" s="27">
        <f t="shared" si="1"/>
        <v>0</v>
      </c>
      <c r="L26" s="28">
        <f t="shared" si="2"/>
        <v>0</v>
      </c>
      <c r="M26" s="14" t="s">
        <v>25</v>
      </c>
      <c r="N26" s="29"/>
      <c r="O26" s="27">
        <f t="shared" si="3"/>
        <v>0</v>
      </c>
      <c r="Q26" s="10"/>
      <c r="R26" s="36"/>
      <c r="S26" s="37"/>
      <c r="T26" s="12"/>
      <c r="V26" s="10"/>
      <c r="W26" s="36"/>
      <c r="X26" s="37"/>
      <c r="Y26" s="12"/>
    </row>
    <row r="27" spans="1:25" x14ac:dyDescent="0.25">
      <c r="A27" s="6" t="s">
        <v>64</v>
      </c>
      <c r="B27" s="1">
        <v>0</v>
      </c>
      <c r="C27" s="57" t="s">
        <v>88</v>
      </c>
      <c r="D27" s="57">
        <v>1</v>
      </c>
      <c r="E27" s="266">
        <f t="shared" si="0"/>
        <v>0</v>
      </c>
      <c r="G27" s="26">
        <f>E27*$F$3/1000</f>
        <v>0</v>
      </c>
      <c r="H27" s="14" t="s">
        <v>25</v>
      </c>
      <c r="I27" s="29"/>
      <c r="J27" s="27">
        <f t="shared" si="1"/>
        <v>0</v>
      </c>
      <c r="L27" s="28">
        <f t="shared" si="2"/>
        <v>0</v>
      </c>
      <c r="M27" s="14" t="s">
        <v>25</v>
      </c>
      <c r="N27" s="29"/>
      <c r="O27" s="27">
        <f t="shared" si="3"/>
        <v>0</v>
      </c>
      <c r="Q27" s="13"/>
      <c r="R27" s="36"/>
      <c r="S27" s="37"/>
      <c r="T27" s="12"/>
      <c r="V27" s="13"/>
      <c r="W27" s="36"/>
      <c r="X27" s="37"/>
      <c r="Y27" s="12"/>
    </row>
    <row r="28" spans="1:25" x14ac:dyDescent="0.25">
      <c r="A28" s="3" t="s">
        <v>41</v>
      </c>
      <c r="B28" s="1">
        <f>'Cardápio CMEI Tarde 2017'!B144</f>
        <v>15</v>
      </c>
      <c r="C28" s="57" t="s">
        <v>88</v>
      </c>
      <c r="D28" s="57">
        <v>1</v>
      </c>
      <c r="E28" s="266">
        <f t="shared" si="0"/>
        <v>15</v>
      </c>
      <c r="G28" s="26">
        <f>E28*$F$3/1000</f>
        <v>0</v>
      </c>
      <c r="H28" s="14" t="s">
        <v>25</v>
      </c>
      <c r="I28" s="29"/>
      <c r="J28" s="27">
        <f t="shared" si="1"/>
        <v>0</v>
      </c>
      <c r="L28" s="28">
        <f t="shared" si="2"/>
        <v>0</v>
      </c>
      <c r="M28" s="14" t="s">
        <v>25</v>
      </c>
      <c r="N28" s="29"/>
      <c r="O28" s="27">
        <f t="shared" si="3"/>
        <v>0</v>
      </c>
      <c r="Q28" s="2"/>
      <c r="R28" s="36"/>
      <c r="S28" s="37"/>
      <c r="T28" s="12"/>
      <c r="V28" s="2"/>
      <c r="W28" s="36"/>
      <c r="X28" s="37"/>
      <c r="Y28" s="12"/>
    </row>
    <row r="29" spans="1:25" x14ac:dyDescent="0.25">
      <c r="A29" s="3" t="s">
        <v>50</v>
      </c>
      <c r="B29" s="1">
        <v>0</v>
      </c>
      <c r="C29" s="57" t="s">
        <v>88</v>
      </c>
      <c r="D29" s="57">
        <v>1</v>
      </c>
      <c r="E29" s="266">
        <f t="shared" si="0"/>
        <v>0</v>
      </c>
      <c r="G29" s="26">
        <f>E29*$F$3/1000</f>
        <v>0</v>
      </c>
      <c r="H29" s="14" t="s">
        <v>25</v>
      </c>
      <c r="I29" s="29"/>
      <c r="J29" s="27">
        <f t="shared" si="1"/>
        <v>0</v>
      </c>
      <c r="L29" s="28">
        <f t="shared" si="2"/>
        <v>0</v>
      </c>
      <c r="M29" s="14" t="s">
        <v>25</v>
      </c>
      <c r="N29" s="29"/>
      <c r="O29" s="27">
        <f t="shared" si="3"/>
        <v>0</v>
      </c>
      <c r="Q29" s="2"/>
      <c r="R29" s="36"/>
      <c r="S29" s="37"/>
      <c r="T29" s="12"/>
      <c r="V29" s="2"/>
      <c r="W29" s="36"/>
      <c r="X29" s="37"/>
      <c r="Y29" s="12"/>
    </row>
    <row r="30" spans="1:25" x14ac:dyDescent="0.25">
      <c r="A30" s="6" t="s">
        <v>55</v>
      </c>
      <c r="B30" s="1">
        <f>'Cardápio CMEI Tarde 2017'!B175</f>
        <v>35</v>
      </c>
      <c r="C30" s="57" t="s">
        <v>88</v>
      </c>
      <c r="D30" s="57">
        <v>1</v>
      </c>
      <c r="E30" s="266">
        <f t="shared" si="0"/>
        <v>35</v>
      </c>
      <c r="G30" s="26">
        <f>E30*$F$3/500</f>
        <v>0</v>
      </c>
      <c r="H30" s="14" t="s">
        <v>56</v>
      </c>
      <c r="I30" s="29"/>
      <c r="J30" s="27">
        <f t="shared" si="1"/>
        <v>0</v>
      </c>
      <c r="L30" s="28">
        <f>G30*4</f>
        <v>0</v>
      </c>
      <c r="M30" s="14" t="s">
        <v>56</v>
      </c>
      <c r="N30" s="29"/>
      <c r="O30" s="27">
        <f t="shared" si="3"/>
        <v>0</v>
      </c>
      <c r="Q30" s="13"/>
      <c r="R30" s="36"/>
      <c r="S30" s="37"/>
      <c r="T30" s="12"/>
      <c r="V30" s="13"/>
      <c r="W30" s="36"/>
      <c r="X30" s="37"/>
      <c r="Y30" s="12"/>
    </row>
    <row r="31" spans="1:25" x14ac:dyDescent="0.25">
      <c r="A31" s="3" t="s">
        <v>11</v>
      </c>
      <c r="B31" s="463">
        <v>0</v>
      </c>
      <c r="C31" s="57" t="s">
        <v>88</v>
      </c>
      <c r="D31" s="57">
        <v>1.35</v>
      </c>
      <c r="E31" s="266">
        <f t="shared" si="0"/>
        <v>0</v>
      </c>
      <c r="G31" s="26">
        <f>E31*$F$3/1000</f>
        <v>0</v>
      </c>
      <c r="H31" s="14" t="s">
        <v>25</v>
      </c>
      <c r="I31" s="29"/>
      <c r="J31" s="27">
        <f t="shared" si="1"/>
        <v>0</v>
      </c>
      <c r="L31" s="28">
        <f t="shared" si="2"/>
        <v>0</v>
      </c>
      <c r="M31" s="14" t="s">
        <v>25</v>
      </c>
      <c r="N31" s="29"/>
      <c r="O31" s="27">
        <f t="shared" si="3"/>
        <v>0</v>
      </c>
      <c r="Q31" s="10"/>
      <c r="R31" s="36"/>
      <c r="S31" s="37"/>
      <c r="T31" s="12"/>
      <c r="V31" s="10"/>
      <c r="W31" s="36"/>
      <c r="X31" s="37"/>
      <c r="Y31" s="12"/>
    </row>
    <row r="32" spans="1:25" x14ac:dyDescent="0.25">
      <c r="A32" s="3" t="s">
        <v>69</v>
      </c>
      <c r="B32" s="463">
        <f>'Cardápio CMEI Tarde 2017'!B44+'Cardápio CMEI Tarde 2017'!B105</f>
        <v>30</v>
      </c>
      <c r="C32" s="57" t="s">
        <v>88</v>
      </c>
      <c r="D32" s="57">
        <v>1.56</v>
      </c>
      <c r="E32" s="266">
        <f t="shared" si="0"/>
        <v>46.800000000000004</v>
      </c>
      <c r="G32" s="26">
        <f>E32*$F$3/1000</f>
        <v>0</v>
      </c>
      <c r="H32" s="14" t="s">
        <v>25</v>
      </c>
      <c r="I32" s="29"/>
      <c r="J32" s="27">
        <f t="shared" si="1"/>
        <v>0</v>
      </c>
      <c r="L32" s="28">
        <f t="shared" si="2"/>
        <v>0</v>
      </c>
      <c r="M32" s="14" t="s">
        <v>25</v>
      </c>
      <c r="N32" s="29"/>
      <c r="O32" s="27">
        <f t="shared" si="3"/>
        <v>0</v>
      </c>
      <c r="Q32" s="2"/>
      <c r="R32" s="36"/>
      <c r="S32" s="37"/>
      <c r="T32" s="12"/>
      <c r="V32" s="2"/>
      <c r="W32" s="36"/>
      <c r="X32" s="37"/>
      <c r="Y32" s="12"/>
    </row>
    <row r="33" spans="1:25" x14ac:dyDescent="0.25">
      <c r="A33" s="6" t="s">
        <v>26</v>
      </c>
      <c r="B33" s="1">
        <f>'Cardápio CMEI Tarde 2017'!B46+'Cardápio CMEI Tarde 2017'!B75+'Cardápio CMEI Tarde 2017'!B167</f>
        <v>35</v>
      </c>
      <c r="C33" s="57" t="s">
        <v>88</v>
      </c>
      <c r="D33" s="57">
        <v>1</v>
      </c>
      <c r="E33" s="266">
        <f t="shared" si="0"/>
        <v>35</v>
      </c>
      <c r="G33" s="26">
        <f>E33*$F$3/400</f>
        <v>0</v>
      </c>
      <c r="H33" s="14" t="s">
        <v>161</v>
      </c>
      <c r="I33" s="29"/>
      <c r="J33" s="27">
        <f t="shared" si="1"/>
        <v>0</v>
      </c>
      <c r="L33" s="28">
        <f t="shared" si="2"/>
        <v>0</v>
      </c>
      <c r="M33" s="14" t="s">
        <v>76</v>
      </c>
      <c r="N33" s="29"/>
      <c r="O33" s="27">
        <f t="shared" si="3"/>
        <v>0</v>
      </c>
      <c r="Q33" s="13"/>
      <c r="R33" s="36"/>
      <c r="S33" s="37"/>
      <c r="T33" s="12"/>
      <c r="V33" s="13"/>
      <c r="W33" s="36"/>
      <c r="X33" s="37"/>
      <c r="Y33" s="12"/>
    </row>
    <row r="34" spans="1:25" x14ac:dyDescent="0.25">
      <c r="A34" s="6" t="s">
        <v>30</v>
      </c>
      <c r="B34" s="1">
        <f>'Cardápio CMEI Tarde 2017'!B54+'Cardápio CMEI Tarde 2017'!B145+'Cardápio CMEI Tarde 2017'!B84</f>
        <v>75</v>
      </c>
      <c r="C34" s="57" t="s">
        <v>88</v>
      </c>
      <c r="D34" s="57">
        <v>1</v>
      </c>
      <c r="E34" s="266">
        <f t="shared" si="0"/>
        <v>75</v>
      </c>
      <c r="G34" s="26">
        <f>E34*$F$3/500</f>
        <v>0</v>
      </c>
      <c r="H34" s="14" t="s">
        <v>56</v>
      </c>
      <c r="I34" s="29"/>
      <c r="J34" s="27">
        <f t="shared" si="1"/>
        <v>0</v>
      </c>
      <c r="L34" s="28">
        <f t="shared" si="2"/>
        <v>0</v>
      </c>
      <c r="M34" s="14" t="s">
        <v>56</v>
      </c>
      <c r="N34" s="29"/>
      <c r="O34" s="27">
        <f t="shared" si="3"/>
        <v>0</v>
      </c>
      <c r="Q34" s="13"/>
      <c r="R34" s="36"/>
      <c r="S34" s="37"/>
      <c r="T34" s="12"/>
      <c r="V34" s="13"/>
      <c r="W34" s="36"/>
      <c r="X34" s="37"/>
      <c r="Y34" s="12"/>
    </row>
    <row r="35" spans="1:25" x14ac:dyDescent="0.25">
      <c r="A35" s="6" t="s">
        <v>119</v>
      </c>
      <c r="B35" s="463">
        <v>0</v>
      </c>
      <c r="C35" s="57" t="s">
        <v>88</v>
      </c>
      <c r="D35" s="57">
        <v>1.31</v>
      </c>
      <c r="E35" s="266">
        <f t="shared" si="0"/>
        <v>0</v>
      </c>
      <c r="G35" s="26">
        <f>E35*$F$3/1000</f>
        <v>0</v>
      </c>
      <c r="H35" s="14" t="s">
        <v>25</v>
      </c>
      <c r="I35" s="29"/>
      <c r="J35" s="27">
        <f t="shared" si="1"/>
        <v>0</v>
      </c>
      <c r="L35" s="28">
        <f t="shared" si="2"/>
        <v>0</v>
      </c>
      <c r="M35" s="14" t="s">
        <v>25</v>
      </c>
      <c r="N35" s="29"/>
      <c r="O35" s="27">
        <f t="shared" si="3"/>
        <v>0</v>
      </c>
      <c r="Q35" s="13"/>
      <c r="R35" s="36"/>
      <c r="S35" s="37"/>
      <c r="T35" s="12"/>
      <c r="V35" s="13"/>
      <c r="W35" s="36"/>
      <c r="X35" s="37"/>
      <c r="Y35" s="12"/>
    </row>
    <row r="36" spans="1:25" x14ac:dyDescent="0.25">
      <c r="A36" s="3" t="s">
        <v>31</v>
      </c>
      <c r="B36" s="1">
        <f>'Cardápio CMEI Tarde 2017'!B45+'Cardápio CMEI Tarde 2017'!B106</f>
        <v>60</v>
      </c>
      <c r="C36" s="57" t="s">
        <v>88</v>
      </c>
      <c r="D36" s="57">
        <v>1.6</v>
      </c>
      <c r="E36" s="266">
        <f t="shared" si="0"/>
        <v>96</v>
      </c>
      <c r="G36" s="26">
        <f>E36*$F$3/1000</f>
        <v>0</v>
      </c>
      <c r="H36" s="14" t="s">
        <v>25</v>
      </c>
      <c r="I36" s="29"/>
      <c r="J36" s="27">
        <f t="shared" si="1"/>
        <v>0</v>
      </c>
      <c r="L36" s="28">
        <f t="shared" si="2"/>
        <v>0</v>
      </c>
      <c r="M36" s="14" t="s">
        <v>25</v>
      </c>
      <c r="N36" s="29"/>
      <c r="O36" s="27">
        <f t="shared" si="3"/>
        <v>0</v>
      </c>
      <c r="Q36" s="2"/>
      <c r="R36" s="36"/>
      <c r="S36" s="37"/>
      <c r="T36" s="12"/>
      <c r="V36" s="2"/>
      <c r="W36" s="36"/>
      <c r="X36" s="37"/>
      <c r="Y36" s="12"/>
    </row>
    <row r="37" spans="1:25" x14ac:dyDescent="0.25">
      <c r="A37" s="6" t="s">
        <v>54</v>
      </c>
      <c r="B37" s="1">
        <f>'Cardápio CMEI Tarde 2017'!B177</f>
        <v>2</v>
      </c>
      <c r="C37" s="57" t="s">
        <v>88</v>
      </c>
      <c r="D37" s="57">
        <v>1</v>
      </c>
      <c r="E37" s="266">
        <f t="shared" si="0"/>
        <v>2</v>
      </c>
      <c r="G37" s="26">
        <f>E37*$F$3/500</f>
        <v>0</v>
      </c>
      <c r="H37" s="5" t="s">
        <v>56</v>
      </c>
      <c r="I37" s="29"/>
      <c r="J37" s="27">
        <f t="shared" si="1"/>
        <v>0</v>
      </c>
      <c r="L37" s="28">
        <f t="shared" si="2"/>
        <v>0</v>
      </c>
      <c r="M37" s="5" t="s">
        <v>56</v>
      </c>
      <c r="N37" s="29"/>
      <c r="O37" s="27">
        <f t="shared" si="3"/>
        <v>0</v>
      </c>
      <c r="Q37" s="13"/>
      <c r="R37" s="36"/>
      <c r="S37" s="37"/>
      <c r="T37" s="11"/>
      <c r="V37" s="13"/>
      <c r="W37" s="36"/>
      <c r="X37" s="37"/>
      <c r="Y37" s="11"/>
    </row>
    <row r="38" spans="1:25" x14ac:dyDescent="0.25">
      <c r="A38" s="6" t="s">
        <v>147</v>
      </c>
      <c r="B38" s="1">
        <v>0</v>
      </c>
      <c r="C38" s="57" t="s">
        <v>88</v>
      </c>
      <c r="D38" s="57">
        <v>1.95</v>
      </c>
      <c r="E38" s="266">
        <f t="shared" si="0"/>
        <v>0</v>
      </c>
      <c r="G38" s="26">
        <f>E38*$F$3/1000</f>
        <v>0</v>
      </c>
      <c r="H38" s="5" t="s">
        <v>25</v>
      </c>
      <c r="I38" s="29"/>
      <c r="J38" s="27">
        <f t="shared" si="1"/>
        <v>0</v>
      </c>
      <c r="L38" s="28">
        <f t="shared" si="2"/>
        <v>0</v>
      </c>
      <c r="M38" s="5" t="s">
        <v>25</v>
      </c>
      <c r="N38" s="29"/>
      <c r="O38" s="27">
        <f t="shared" si="3"/>
        <v>0</v>
      </c>
      <c r="Q38" s="13"/>
      <c r="R38" s="36"/>
      <c r="S38" s="37"/>
      <c r="T38" s="11"/>
      <c r="V38" s="13"/>
      <c r="W38" s="36"/>
      <c r="X38" s="37"/>
      <c r="Y38" s="11"/>
    </row>
    <row r="39" spans="1:25" x14ac:dyDescent="0.25">
      <c r="A39" s="6" t="s">
        <v>100</v>
      </c>
      <c r="B39" s="1">
        <f>'Cardápio CMEI Tarde 2017'!B107</f>
        <v>50</v>
      </c>
      <c r="C39" s="57" t="s">
        <v>88</v>
      </c>
      <c r="D39" s="57">
        <v>1.36</v>
      </c>
      <c r="E39" s="266">
        <f t="shared" si="0"/>
        <v>68</v>
      </c>
      <c r="G39" s="26">
        <f>E39*$F$3/1000</f>
        <v>0</v>
      </c>
      <c r="H39" s="5" t="s">
        <v>25</v>
      </c>
      <c r="I39" s="29"/>
      <c r="J39" s="27">
        <f t="shared" si="1"/>
        <v>0</v>
      </c>
      <c r="L39" s="28">
        <f t="shared" si="2"/>
        <v>0</v>
      </c>
      <c r="M39" s="5" t="s">
        <v>25</v>
      </c>
      <c r="N39" s="29"/>
      <c r="O39" s="27">
        <f t="shared" si="3"/>
        <v>0</v>
      </c>
      <c r="Q39" s="13"/>
      <c r="R39" s="36"/>
      <c r="S39" s="37"/>
      <c r="T39" s="11"/>
      <c r="V39" s="13"/>
      <c r="W39" s="36"/>
      <c r="X39" s="37"/>
      <c r="Y39" s="11"/>
    </row>
    <row r="40" spans="1:25" x14ac:dyDescent="0.25">
      <c r="A40" s="7" t="s">
        <v>66</v>
      </c>
      <c r="B40" s="1">
        <f>'Cardápio CMEI Tarde 2017'!B83</f>
        <v>25</v>
      </c>
      <c r="C40" s="57" t="s">
        <v>88</v>
      </c>
      <c r="D40" s="57">
        <v>1.21</v>
      </c>
      <c r="E40" s="266">
        <f t="shared" si="0"/>
        <v>30.25</v>
      </c>
      <c r="G40" s="26">
        <f>E40*$F$3/1000</f>
        <v>0</v>
      </c>
      <c r="H40" s="14" t="s">
        <v>25</v>
      </c>
      <c r="I40" s="29"/>
      <c r="J40" s="27">
        <f>G40*I40</f>
        <v>0</v>
      </c>
      <c r="L40" s="28">
        <f>G40*4</f>
        <v>0</v>
      </c>
      <c r="M40" s="14" t="s">
        <v>25</v>
      </c>
      <c r="N40" s="29"/>
      <c r="O40" s="27">
        <f t="shared" si="3"/>
        <v>0</v>
      </c>
      <c r="Q40" s="10"/>
      <c r="R40" s="36"/>
      <c r="S40" s="37"/>
      <c r="T40" s="12"/>
      <c r="V40" s="10"/>
      <c r="W40" s="36"/>
      <c r="X40" s="37"/>
      <c r="Y40" s="12"/>
    </row>
    <row r="41" spans="1:25" x14ac:dyDescent="0.25">
      <c r="A41" s="7" t="s">
        <v>4</v>
      </c>
      <c r="B41" s="1">
        <f>'Cardápio CMEI Tarde 2017'!B61+'Cardápio CMEI Tarde 2017'!B93+'Cardápio CMEI Tarde 2017'!B121+'Cardápio CMEI Tarde 2017'!B156</f>
        <v>7</v>
      </c>
      <c r="C41" s="57" t="s">
        <v>90</v>
      </c>
      <c r="D41" s="57">
        <v>1</v>
      </c>
      <c r="E41" s="266">
        <f t="shared" si="0"/>
        <v>7</v>
      </c>
      <c r="G41" s="26">
        <f>E41*$F$3/900</f>
        <v>0</v>
      </c>
      <c r="H41" s="14" t="s">
        <v>40</v>
      </c>
      <c r="I41" s="29"/>
      <c r="J41" s="27">
        <f t="shared" si="1"/>
        <v>0</v>
      </c>
      <c r="L41" s="28">
        <f>G41*4</f>
        <v>0</v>
      </c>
      <c r="M41" s="14" t="s">
        <v>40</v>
      </c>
      <c r="N41" s="29"/>
      <c r="O41" s="27">
        <f t="shared" si="3"/>
        <v>0</v>
      </c>
      <c r="Q41" s="10"/>
      <c r="R41" s="36"/>
      <c r="S41" s="37"/>
      <c r="T41" s="12"/>
      <c r="V41" s="10"/>
      <c r="W41" s="36"/>
      <c r="X41" s="37"/>
      <c r="Y41" s="12"/>
    </row>
    <row r="42" spans="1:25" x14ac:dyDescent="0.25">
      <c r="A42" s="8" t="s">
        <v>58</v>
      </c>
      <c r="B42" s="1">
        <f>'Cardápio CMEI Tarde 2017'!B178</f>
        <v>25</v>
      </c>
      <c r="C42" s="57" t="s">
        <v>88</v>
      </c>
      <c r="D42" s="57">
        <v>1.1299999999999999</v>
      </c>
      <c r="E42" s="266">
        <f t="shared" si="0"/>
        <v>28.249999999999996</v>
      </c>
      <c r="G42" s="26">
        <f>E42*$F$3/1500</f>
        <v>0</v>
      </c>
      <c r="H42" s="14" t="s">
        <v>91</v>
      </c>
      <c r="I42" s="29"/>
      <c r="J42" s="27">
        <f t="shared" si="1"/>
        <v>0</v>
      </c>
      <c r="L42" s="28">
        <f t="shared" si="2"/>
        <v>0</v>
      </c>
      <c r="M42" s="14" t="s">
        <v>91</v>
      </c>
      <c r="N42" s="29"/>
      <c r="O42" s="27">
        <f t="shared" si="3"/>
        <v>0</v>
      </c>
      <c r="Q42" s="38"/>
      <c r="R42" s="36"/>
      <c r="S42" s="37"/>
      <c r="T42" s="12"/>
      <c r="V42" s="38"/>
      <c r="W42" s="36"/>
      <c r="X42" s="37"/>
      <c r="Y42" s="12"/>
    </row>
    <row r="43" spans="1:25" s="467" customFormat="1" x14ac:dyDescent="0.25">
      <c r="A43" s="8" t="s">
        <v>111</v>
      </c>
      <c r="B43" s="466">
        <f>'Cardápio CMEI Tarde 2017'!B95</f>
        <v>20</v>
      </c>
      <c r="C43" s="57" t="s">
        <v>88</v>
      </c>
      <c r="D43" s="57">
        <v>1</v>
      </c>
      <c r="E43" s="266">
        <f t="shared" si="0"/>
        <v>20</v>
      </c>
      <c r="G43" s="468">
        <f>E43*$F$3/400</f>
        <v>0</v>
      </c>
      <c r="H43" s="14" t="s">
        <v>34</v>
      </c>
      <c r="I43" s="394"/>
      <c r="J43" s="469">
        <f t="shared" si="1"/>
        <v>0</v>
      </c>
      <c r="L43" s="470">
        <f t="shared" si="2"/>
        <v>0</v>
      </c>
      <c r="M43" s="14" t="s">
        <v>34</v>
      </c>
      <c r="N43" s="394"/>
      <c r="O43" s="469">
        <f t="shared" si="3"/>
        <v>0</v>
      </c>
      <c r="Q43" s="38"/>
      <c r="R43" s="471"/>
      <c r="S43" s="472"/>
      <c r="T43" s="12"/>
      <c r="U43" s="473"/>
      <c r="V43" s="38"/>
      <c r="W43" s="471"/>
      <c r="X43" s="472"/>
      <c r="Y43" s="12"/>
    </row>
    <row r="44" spans="1:25" x14ac:dyDescent="0.25">
      <c r="A44" s="3" t="s">
        <v>46</v>
      </c>
      <c r="B44" s="463">
        <v>0</v>
      </c>
      <c r="C44" s="57" t="s">
        <v>88</v>
      </c>
      <c r="D44" s="57">
        <v>1.51</v>
      </c>
      <c r="E44" s="266">
        <f t="shared" si="0"/>
        <v>0</v>
      </c>
      <c r="G44" s="26">
        <f>E44*$F$3/1000</f>
        <v>0</v>
      </c>
      <c r="H44" s="14" t="s">
        <v>25</v>
      </c>
      <c r="I44" s="29"/>
      <c r="J44" s="27">
        <f t="shared" si="1"/>
        <v>0</v>
      </c>
      <c r="L44" s="28">
        <f t="shared" si="2"/>
        <v>0</v>
      </c>
      <c r="M44" s="14" t="s">
        <v>76</v>
      </c>
      <c r="N44" s="29"/>
      <c r="O44" s="27">
        <f t="shared" si="3"/>
        <v>0</v>
      </c>
      <c r="Q44" s="2"/>
      <c r="R44" s="36"/>
      <c r="S44" s="37"/>
      <c r="T44" s="12"/>
      <c r="V44" s="2"/>
      <c r="W44" s="36"/>
      <c r="X44" s="37"/>
      <c r="Y44" s="12"/>
    </row>
    <row r="45" spans="1:25" x14ac:dyDescent="0.25">
      <c r="A45" s="6" t="s">
        <v>9</v>
      </c>
      <c r="B45" s="1">
        <f>'Cardápio CMEI Tarde 2017'!B59+'Cardápio CMEI Tarde 2017'!B151</f>
        <v>3</v>
      </c>
      <c r="C45" s="57" t="s">
        <v>90</v>
      </c>
      <c r="D45" s="57">
        <v>1.43</v>
      </c>
      <c r="E45" s="266">
        <f t="shared" si="0"/>
        <v>4.29</v>
      </c>
      <c r="G45" s="26">
        <f>E45*$F$3/1000</f>
        <v>0</v>
      </c>
      <c r="H45" s="14" t="s">
        <v>25</v>
      </c>
      <c r="I45" s="29"/>
      <c r="J45" s="27">
        <f t="shared" si="1"/>
        <v>0</v>
      </c>
      <c r="L45" s="28">
        <f t="shared" si="2"/>
        <v>0</v>
      </c>
      <c r="M45" s="14" t="s">
        <v>25</v>
      </c>
      <c r="N45" s="29"/>
      <c r="O45" s="27">
        <f t="shared" si="3"/>
        <v>0</v>
      </c>
      <c r="Q45" s="13"/>
      <c r="R45" s="36"/>
      <c r="S45" s="37"/>
      <c r="T45" s="12"/>
      <c r="V45" s="13"/>
      <c r="W45" s="36"/>
      <c r="X45" s="37"/>
      <c r="Y45" s="12"/>
    </row>
    <row r="46" spans="1:25" x14ac:dyDescent="0.25">
      <c r="A46" s="7" t="s">
        <v>29</v>
      </c>
      <c r="B46" s="1">
        <f>'Cardápio CMEI Tarde 2017'!K175</f>
        <v>40</v>
      </c>
      <c r="C46" s="57" t="s">
        <v>88</v>
      </c>
      <c r="D46" s="57">
        <v>1</v>
      </c>
      <c r="E46" s="266">
        <f t="shared" si="0"/>
        <v>40</v>
      </c>
      <c r="G46" s="26">
        <f>E46*$F$3/1000</f>
        <v>0</v>
      </c>
      <c r="H46" s="14" t="s">
        <v>25</v>
      </c>
      <c r="I46" s="29"/>
      <c r="J46" s="27">
        <f t="shared" si="1"/>
        <v>0</v>
      </c>
      <c r="L46" s="28">
        <f t="shared" si="2"/>
        <v>0</v>
      </c>
      <c r="M46" s="14" t="s">
        <v>25</v>
      </c>
      <c r="N46" s="29"/>
      <c r="O46" s="27">
        <f t="shared" si="3"/>
        <v>0</v>
      </c>
      <c r="Q46" s="10"/>
      <c r="R46" s="36"/>
      <c r="S46" s="37"/>
      <c r="T46" s="12"/>
      <c r="V46" s="10"/>
      <c r="W46" s="36"/>
      <c r="X46" s="37"/>
      <c r="Y46" s="12"/>
    </row>
    <row r="47" spans="1:25" x14ac:dyDescent="0.25">
      <c r="A47" s="7" t="s">
        <v>67</v>
      </c>
      <c r="B47" s="1">
        <f>'Cardápio CMEI Tarde 2017'!L54</f>
        <v>40</v>
      </c>
      <c r="C47" s="57" t="s">
        <v>88</v>
      </c>
      <c r="D47" s="57">
        <v>1</v>
      </c>
      <c r="E47" s="266">
        <f t="shared" si="0"/>
        <v>40</v>
      </c>
      <c r="G47" s="26">
        <f>E47*$F$3/1000</f>
        <v>0</v>
      </c>
      <c r="H47" s="14" t="s">
        <v>25</v>
      </c>
      <c r="I47" s="29"/>
      <c r="J47" s="27">
        <f t="shared" si="1"/>
        <v>0</v>
      </c>
      <c r="L47" s="28">
        <f t="shared" si="2"/>
        <v>0</v>
      </c>
      <c r="M47" s="14" t="s">
        <v>25</v>
      </c>
      <c r="N47" s="29"/>
      <c r="O47" s="27">
        <f t="shared" si="3"/>
        <v>0</v>
      </c>
      <c r="Q47" s="10"/>
      <c r="R47" s="36"/>
      <c r="S47" s="37"/>
      <c r="T47" s="12"/>
      <c r="V47" s="10"/>
      <c r="W47" s="36"/>
      <c r="X47" s="37"/>
      <c r="Y47" s="12"/>
    </row>
    <row r="48" spans="1:25" x14ac:dyDescent="0.25">
      <c r="A48" s="6" t="s">
        <v>33</v>
      </c>
      <c r="B48" s="1">
        <f>'Cardápio CMEI Tarde 2017'!B64+'Cardápio CMEI Tarde 2017'!B123</f>
        <v>17</v>
      </c>
      <c r="C48" s="57" t="s">
        <v>88</v>
      </c>
      <c r="D48" s="57">
        <v>1</v>
      </c>
      <c r="E48" s="266">
        <f t="shared" si="0"/>
        <v>17</v>
      </c>
      <c r="G48" s="26">
        <f>E48*$F$3/520</f>
        <v>0</v>
      </c>
      <c r="H48" s="14" t="s">
        <v>92</v>
      </c>
      <c r="I48" s="29"/>
      <c r="J48" s="27">
        <f t="shared" si="1"/>
        <v>0</v>
      </c>
      <c r="L48" s="28">
        <f t="shared" si="2"/>
        <v>0</v>
      </c>
      <c r="M48" s="14" t="s">
        <v>92</v>
      </c>
      <c r="N48" s="29"/>
      <c r="O48" s="27">
        <f t="shared" si="3"/>
        <v>0</v>
      </c>
      <c r="Q48" s="13"/>
      <c r="R48" s="36"/>
      <c r="S48" s="37"/>
      <c r="T48" s="12"/>
      <c r="V48" s="13"/>
      <c r="W48" s="36"/>
      <c r="X48" s="37"/>
      <c r="Y48" s="12"/>
    </row>
    <row r="49" spans="1:25" x14ac:dyDescent="0.25">
      <c r="A49" s="3" t="s">
        <v>5</v>
      </c>
      <c r="B49" s="1">
        <f>'Cardápio CMEI Tarde 2017'!B62+'Cardápio CMEI Tarde 2017'!B94+'Cardápio CMEI Tarde 2017'!B124+'Cardápio CMEI Tarde 2017'!B157+'Cardápio CMEI Tarde 2017'!B176</f>
        <v>4</v>
      </c>
      <c r="C49" s="57" t="s">
        <v>88</v>
      </c>
      <c r="D49" s="57">
        <v>1</v>
      </c>
      <c r="E49" s="266">
        <f t="shared" si="0"/>
        <v>4</v>
      </c>
      <c r="G49" s="26">
        <f>E49*$F$3/1000</f>
        <v>0</v>
      </c>
      <c r="H49" s="14" t="s">
        <v>25</v>
      </c>
      <c r="I49" s="29"/>
      <c r="J49" s="27">
        <f t="shared" si="1"/>
        <v>0</v>
      </c>
      <c r="L49" s="28">
        <f t="shared" si="2"/>
        <v>0</v>
      </c>
      <c r="M49" s="14" t="s">
        <v>25</v>
      </c>
      <c r="N49" s="29"/>
      <c r="O49" s="27">
        <f t="shared" si="3"/>
        <v>0</v>
      </c>
      <c r="Q49" s="2"/>
      <c r="R49" s="36"/>
      <c r="S49" s="37"/>
      <c r="T49" s="12"/>
      <c r="V49" s="2"/>
      <c r="W49" s="36"/>
      <c r="X49" s="37"/>
      <c r="Y49" s="12"/>
    </row>
    <row r="50" spans="1:25" ht="13.5" customHeight="1" x14ac:dyDescent="0.25">
      <c r="A50" s="3" t="s">
        <v>10</v>
      </c>
      <c r="B50" s="463">
        <f>'Cardápio CMEI Tarde 2017'!B63+'Cardápio CMEI Tarde 2017'!B88+'Cardápio CMEI Tarde 2017'!B122+'Cardápio CMEI Tarde 2017'!B150</f>
        <v>40</v>
      </c>
      <c r="C50" s="57" t="s">
        <v>88</v>
      </c>
      <c r="D50" s="57">
        <v>1.33</v>
      </c>
      <c r="E50" s="266">
        <f t="shared" si="0"/>
        <v>53.2</v>
      </c>
      <c r="G50" s="26">
        <f>E50*$F$3/1000</f>
        <v>0</v>
      </c>
      <c r="H50" s="14" t="s">
        <v>25</v>
      </c>
      <c r="I50" s="29"/>
      <c r="J50" s="27">
        <f t="shared" si="1"/>
        <v>0</v>
      </c>
      <c r="L50" s="28">
        <f t="shared" si="2"/>
        <v>0</v>
      </c>
      <c r="M50" s="14" t="s">
        <v>25</v>
      </c>
      <c r="N50" s="29"/>
      <c r="O50" s="27">
        <f t="shared" si="3"/>
        <v>0</v>
      </c>
      <c r="Q50" s="2"/>
      <c r="R50" s="36"/>
      <c r="S50" s="37"/>
      <c r="T50" s="12"/>
      <c r="V50" s="2"/>
      <c r="W50" s="36"/>
      <c r="X50" s="37"/>
      <c r="Y50" s="12"/>
    </row>
    <row r="51" spans="1:25" ht="13.5" customHeight="1" x14ac:dyDescent="0.25">
      <c r="A51" s="3" t="s">
        <v>157</v>
      </c>
      <c r="B51" s="550">
        <v>0</v>
      </c>
      <c r="C51" s="57" t="s">
        <v>88</v>
      </c>
      <c r="D51" s="57">
        <v>1</v>
      </c>
      <c r="E51" s="266">
        <f t="shared" si="0"/>
        <v>0</v>
      </c>
      <c r="G51" s="26">
        <f>E51*$F$3/400</f>
        <v>0</v>
      </c>
      <c r="H51" s="14" t="s">
        <v>161</v>
      </c>
      <c r="I51" s="29"/>
      <c r="J51" s="27">
        <f t="shared" si="1"/>
        <v>0</v>
      </c>
      <c r="L51" s="28">
        <f t="shared" si="2"/>
        <v>0</v>
      </c>
      <c r="M51" s="14" t="s">
        <v>161</v>
      </c>
      <c r="N51" s="29"/>
      <c r="O51" s="27">
        <f t="shared" si="3"/>
        <v>0</v>
      </c>
      <c r="Q51" s="2"/>
      <c r="R51" s="36"/>
      <c r="S51" s="37"/>
      <c r="T51" s="12"/>
      <c r="V51" s="2"/>
      <c r="W51" s="36"/>
      <c r="X51" s="37"/>
      <c r="Y51" s="12"/>
    </row>
    <row r="52" spans="1:25" ht="18" x14ac:dyDescent="0.25">
      <c r="J52" s="30">
        <f>SUM(J7:J51)</f>
        <v>0</v>
      </c>
      <c r="O52" s="30">
        <f>SUM(O7:O51)</f>
        <v>0</v>
      </c>
    </row>
  </sheetData>
  <mergeCells count="4">
    <mergeCell ref="B3:C3"/>
    <mergeCell ref="Q4:T4"/>
    <mergeCell ref="V4:Y4"/>
    <mergeCell ref="B6:C6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3"/>
  <sheetViews>
    <sheetView tabSelected="1" zoomScale="110" zoomScaleNormal="110" workbookViewId="0">
      <selection activeCell="F4" sqref="F4"/>
    </sheetView>
  </sheetViews>
  <sheetFormatPr defaultRowHeight="15" x14ac:dyDescent="0.25"/>
  <cols>
    <col min="1" max="1" width="20.42578125" customWidth="1"/>
    <col min="2" max="2" width="9.7109375" customWidth="1"/>
    <col min="3" max="4" width="11" customWidth="1"/>
    <col min="5" max="5" width="12.140625" customWidth="1"/>
    <col min="6" max="6" width="13.85546875" customWidth="1"/>
    <col min="7" max="7" width="15.7109375" style="19" customWidth="1"/>
    <col min="8" max="8" width="10.85546875" style="19" customWidth="1"/>
    <col min="9" max="9" width="14" bestFit="1" customWidth="1"/>
    <col min="10" max="10" width="20.5703125" customWidth="1"/>
    <col min="12" max="12" width="14.5703125" customWidth="1"/>
    <col min="13" max="13" width="13.7109375" customWidth="1"/>
    <col min="14" max="14" width="16.7109375" customWidth="1"/>
    <col min="15" max="15" width="22.85546875" customWidth="1"/>
    <col min="17" max="17" width="19.7109375" style="16" bestFit="1" customWidth="1"/>
    <col min="18" max="19" width="16.85546875" style="16" customWidth="1"/>
    <col min="20" max="20" width="11.7109375" style="16" customWidth="1"/>
    <col min="21" max="21" width="9.140625" style="16"/>
    <col min="22" max="22" width="14.140625" style="16" customWidth="1"/>
    <col min="23" max="23" width="18.5703125" style="16" customWidth="1"/>
    <col min="24" max="24" width="12.7109375" style="16" customWidth="1"/>
    <col min="25" max="25" width="14.42578125" style="16" customWidth="1"/>
    <col min="260" max="260" width="20.42578125" customWidth="1"/>
    <col min="262" max="262" width="11" customWidth="1"/>
    <col min="264" max="264" width="15.7109375" customWidth="1"/>
    <col min="265" max="265" width="10.85546875" customWidth="1"/>
    <col min="266" max="266" width="14" bestFit="1" customWidth="1"/>
    <col min="267" max="267" width="19.140625" customWidth="1"/>
    <col min="269" max="269" width="14.5703125" customWidth="1"/>
    <col min="270" max="270" width="13.7109375" customWidth="1"/>
    <col min="271" max="271" width="16.7109375" customWidth="1"/>
    <col min="272" max="272" width="17" customWidth="1"/>
    <col min="516" max="516" width="20.42578125" customWidth="1"/>
    <col min="518" max="518" width="11" customWidth="1"/>
    <col min="520" max="520" width="15.7109375" customWidth="1"/>
    <col min="521" max="521" width="10.85546875" customWidth="1"/>
    <col min="522" max="522" width="14" bestFit="1" customWidth="1"/>
    <col min="523" max="523" width="19.140625" customWidth="1"/>
    <col min="525" max="525" width="14.5703125" customWidth="1"/>
    <col min="526" max="526" width="13.7109375" customWidth="1"/>
    <col min="527" max="527" width="16.7109375" customWidth="1"/>
    <col min="528" max="528" width="17" customWidth="1"/>
    <col min="772" max="772" width="20.42578125" customWidth="1"/>
    <col min="774" max="774" width="11" customWidth="1"/>
    <col min="776" max="776" width="15.7109375" customWidth="1"/>
    <col min="777" max="777" width="10.85546875" customWidth="1"/>
    <col min="778" max="778" width="14" bestFit="1" customWidth="1"/>
    <col min="779" max="779" width="19.140625" customWidth="1"/>
    <col min="781" max="781" width="14.5703125" customWidth="1"/>
    <col min="782" max="782" width="13.7109375" customWidth="1"/>
    <col min="783" max="783" width="16.7109375" customWidth="1"/>
    <col min="784" max="784" width="17" customWidth="1"/>
    <col min="1028" max="1028" width="20.42578125" customWidth="1"/>
    <col min="1030" max="1030" width="11" customWidth="1"/>
    <col min="1032" max="1032" width="15.7109375" customWidth="1"/>
    <col min="1033" max="1033" width="10.85546875" customWidth="1"/>
    <col min="1034" max="1034" width="14" bestFit="1" customWidth="1"/>
    <col min="1035" max="1035" width="19.140625" customWidth="1"/>
    <col min="1037" max="1037" width="14.5703125" customWidth="1"/>
    <col min="1038" max="1038" width="13.7109375" customWidth="1"/>
    <col min="1039" max="1039" width="16.7109375" customWidth="1"/>
    <col min="1040" max="1040" width="17" customWidth="1"/>
    <col min="1284" max="1284" width="20.42578125" customWidth="1"/>
    <col min="1286" max="1286" width="11" customWidth="1"/>
    <col min="1288" max="1288" width="15.7109375" customWidth="1"/>
    <col min="1289" max="1289" width="10.85546875" customWidth="1"/>
    <col min="1290" max="1290" width="14" bestFit="1" customWidth="1"/>
    <col min="1291" max="1291" width="19.140625" customWidth="1"/>
    <col min="1293" max="1293" width="14.5703125" customWidth="1"/>
    <col min="1294" max="1294" width="13.7109375" customWidth="1"/>
    <col min="1295" max="1295" width="16.7109375" customWidth="1"/>
    <col min="1296" max="1296" width="17" customWidth="1"/>
    <col min="1540" max="1540" width="20.42578125" customWidth="1"/>
    <col min="1542" max="1542" width="11" customWidth="1"/>
    <col min="1544" max="1544" width="15.7109375" customWidth="1"/>
    <col min="1545" max="1545" width="10.85546875" customWidth="1"/>
    <col min="1546" max="1546" width="14" bestFit="1" customWidth="1"/>
    <col min="1547" max="1547" width="19.140625" customWidth="1"/>
    <col min="1549" max="1549" width="14.5703125" customWidth="1"/>
    <col min="1550" max="1550" width="13.7109375" customWidth="1"/>
    <col min="1551" max="1551" width="16.7109375" customWidth="1"/>
    <col min="1552" max="1552" width="17" customWidth="1"/>
    <col min="1796" max="1796" width="20.42578125" customWidth="1"/>
    <col min="1798" max="1798" width="11" customWidth="1"/>
    <col min="1800" max="1800" width="15.7109375" customWidth="1"/>
    <col min="1801" max="1801" width="10.85546875" customWidth="1"/>
    <col min="1802" max="1802" width="14" bestFit="1" customWidth="1"/>
    <col min="1803" max="1803" width="19.140625" customWidth="1"/>
    <col min="1805" max="1805" width="14.5703125" customWidth="1"/>
    <col min="1806" max="1806" width="13.7109375" customWidth="1"/>
    <col min="1807" max="1807" width="16.7109375" customWidth="1"/>
    <col min="1808" max="1808" width="17" customWidth="1"/>
    <col min="2052" max="2052" width="20.42578125" customWidth="1"/>
    <col min="2054" max="2054" width="11" customWidth="1"/>
    <col min="2056" max="2056" width="15.7109375" customWidth="1"/>
    <col min="2057" max="2057" width="10.85546875" customWidth="1"/>
    <col min="2058" max="2058" width="14" bestFit="1" customWidth="1"/>
    <col min="2059" max="2059" width="19.140625" customWidth="1"/>
    <col min="2061" max="2061" width="14.5703125" customWidth="1"/>
    <col min="2062" max="2062" width="13.7109375" customWidth="1"/>
    <col min="2063" max="2063" width="16.7109375" customWidth="1"/>
    <col min="2064" max="2064" width="17" customWidth="1"/>
    <col min="2308" max="2308" width="20.42578125" customWidth="1"/>
    <col min="2310" max="2310" width="11" customWidth="1"/>
    <col min="2312" max="2312" width="15.7109375" customWidth="1"/>
    <col min="2313" max="2313" width="10.85546875" customWidth="1"/>
    <col min="2314" max="2314" width="14" bestFit="1" customWidth="1"/>
    <col min="2315" max="2315" width="19.140625" customWidth="1"/>
    <col min="2317" max="2317" width="14.5703125" customWidth="1"/>
    <col min="2318" max="2318" width="13.7109375" customWidth="1"/>
    <col min="2319" max="2319" width="16.7109375" customWidth="1"/>
    <col min="2320" max="2320" width="17" customWidth="1"/>
    <col min="2564" max="2564" width="20.42578125" customWidth="1"/>
    <col min="2566" max="2566" width="11" customWidth="1"/>
    <col min="2568" max="2568" width="15.7109375" customWidth="1"/>
    <col min="2569" max="2569" width="10.85546875" customWidth="1"/>
    <col min="2570" max="2570" width="14" bestFit="1" customWidth="1"/>
    <col min="2571" max="2571" width="19.140625" customWidth="1"/>
    <col min="2573" max="2573" width="14.5703125" customWidth="1"/>
    <col min="2574" max="2574" width="13.7109375" customWidth="1"/>
    <col min="2575" max="2575" width="16.7109375" customWidth="1"/>
    <col min="2576" max="2576" width="17" customWidth="1"/>
    <col min="2820" max="2820" width="20.42578125" customWidth="1"/>
    <col min="2822" max="2822" width="11" customWidth="1"/>
    <col min="2824" max="2824" width="15.7109375" customWidth="1"/>
    <col min="2825" max="2825" width="10.85546875" customWidth="1"/>
    <col min="2826" max="2826" width="14" bestFit="1" customWidth="1"/>
    <col min="2827" max="2827" width="19.140625" customWidth="1"/>
    <col min="2829" max="2829" width="14.5703125" customWidth="1"/>
    <col min="2830" max="2830" width="13.7109375" customWidth="1"/>
    <col min="2831" max="2831" width="16.7109375" customWidth="1"/>
    <col min="2832" max="2832" width="17" customWidth="1"/>
    <col min="3076" max="3076" width="20.42578125" customWidth="1"/>
    <col min="3078" max="3078" width="11" customWidth="1"/>
    <col min="3080" max="3080" width="15.7109375" customWidth="1"/>
    <col min="3081" max="3081" width="10.85546875" customWidth="1"/>
    <col min="3082" max="3082" width="14" bestFit="1" customWidth="1"/>
    <col min="3083" max="3083" width="19.140625" customWidth="1"/>
    <col min="3085" max="3085" width="14.5703125" customWidth="1"/>
    <col min="3086" max="3086" width="13.7109375" customWidth="1"/>
    <col min="3087" max="3087" width="16.7109375" customWidth="1"/>
    <col min="3088" max="3088" width="17" customWidth="1"/>
    <col min="3332" max="3332" width="20.42578125" customWidth="1"/>
    <col min="3334" max="3334" width="11" customWidth="1"/>
    <col min="3336" max="3336" width="15.7109375" customWidth="1"/>
    <col min="3337" max="3337" width="10.85546875" customWidth="1"/>
    <col min="3338" max="3338" width="14" bestFit="1" customWidth="1"/>
    <col min="3339" max="3339" width="19.140625" customWidth="1"/>
    <col min="3341" max="3341" width="14.5703125" customWidth="1"/>
    <col min="3342" max="3342" width="13.7109375" customWidth="1"/>
    <col min="3343" max="3343" width="16.7109375" customWidth="1"/>
    <col min="3344" max="3344" width="17" customWidth="1"/>
    <col min="3588" max="3588" width="20.42578125" customWidth="1"/>
    <col min="3590" max="3590" width="11" customWidth="1"/>
    <col min="3592" max="3592" width="15.7109375" customWidth="1"/>
    <col min="3593" max="3593" width="10.85546875" customWidth="1"/>
    <col min="3594" max="3594" width="14" bestFit="1" customWidth="1"/>
    <col min="3595" max="3595" width="19.140625" customWidth="1"/>
    <col min="3597" max="3597" width="14.5703125" customWidth="1"/>
    <col min="3598" max="3598" width="13.7109375" customWidth="1"/>
    <col min="3599" max="3599" width="16.7109375" customWidth="1"/>
    <col min="3600" max="3600" width="17" customWidth="1"/>
    <col min="3844" max="3844" width="20.42578125" customWidth="1"/>
    <col min="3846" max="3846" width="11" customWidth="1"/>
    <col min="3848" max="3848" width="15.7109375" customWidth="1"/>
    <col min="3849" max="3849" width="10.85546875" customWidth="1"/>
    <col min="3850" max="3850" width="14" bestFit="1" customWidth="1"/>
    <col min="3851" max="3851" width="19.140625" customWidth="1"/>
    <col min="3853" max="3853" width="14.5703125" customWidth="1"/>
    <col min="3854" max="3854" width="13.7109375" customWidth="1"/>
    <col min="3855" max="3855" width="16.7109375" customWidth="1"/>
    <col min="3856" max="3856" width="17" customWidth="1"/>
    <col min="4100" max="4100" width="20.42578125" customWidth="1"/>
    <col min="4102" max="4102" width="11" customWidth="1"/>
    <col min="4104" max="4104" width="15.7109375" customWidth="1"/>
    <col min="4105" max="4105" width="10.85546875" customWidth="1"/>
    <col min="4106" max="4106" width="14" bestFit="1" customWidth="1"/>
    <col min="4107" max="4107" width="19.140625" customWidth="1"/>
    <col min="4109" max="4109" width="14.5703125" customWidth="1"/>
    <col min="4110" max="4110" width="13.7109375" customWidth="1"/>
    <col min="4111" max="4111" width="16.7109375" customWidth="1"/>
    <col min="4112" max="4112" width="17" customWidth="1"/>
    <col min="4356" max="4356" width="20.42578125" customWidth="1"/>
    <col min="4358" max="4358" width="11" customWidth="1"/>
    <col min="4360" max="4360" width="15.7109375" customWidth="1"/>
    <col min="4361" max="4361" width="10.85546875" customWidth="1"/>
    <col min="4362" max="4362" width="14" bestFit="1" customWidth="1"/>
    <col min="4363" max="4363" width="19.140625" customWidth="1"/>
    <col min="4365" max="4365" width="14.5703125" customWidth="1"/>
    <col min="4366" max="4366" width="13.7109375" customWidth="1"/>
    <col min="4367" max="4367" width="16.7109375" customWidth="1"/>
    <col min="4368" max="4368" width="17" customWidth="1"/>
    <col min="4612" max="4612" width="20.42578125" customWidth="1"/>
    <col min="4614" max="4614" width="11" customWidth="1"/>
    <col min="4616" max="4616" width="15.7109375" customWidth="1"/>
    <col min="4617" max="4617" width="10.85546875" customWidth="1"/>
    <col min="4618" max="4618" width="14" bestFit="1" customWidth="1"/>
    <col min="4619" max="4619" width="19.140625" customWidth="1"/>
    <col min="4621" max="4621" width="14.5703125" customWidth="1"/>
    <col min="4622" max="4622" width="13.7109375" customWidth="1"/>
    <col min="4623" max="4623" width="16.7109375" customWidth="1"/>
    <col min="4624" max="4624" width="17" customWidth="1"/>
    <col min="4868" max="4868" width="20.42578125" customWidth="1"/>
    <col min="4870" max="4870" width="11" customWidth="1"/>
    <col min="4872" max="4872" width="15.7109375" customWidth="1"/>
    <col min="4873" max="4873" width="10.85546875" customWidth="1"/>
    <col min="4874" max="4874" width="14" bestFit="1" customWidth="1"/>
    <col min="4875" max="4875" width="19.140625" customWidth="1"/>
    <col min="4877" max="4877" width="14.5703125" customWidth="1"/>
    <col min="4878" max="4878" width="13.7109375" customWidth="1"/>
    <col min="4879" max="4879" width="16.7109375" customWidth="1"/>
    <col min="4880" max="4880" width="17" customWidth="1"/>
    <col min="5124" max="5124" width="20.42578125" customWidth="1"/>
    <col min="5126" max="5126" width="11" customWidth="1"/>
    <col min="5128" max="5128" width="15.7109375" customWidth="1"/>
    <col min="5129" max="5129" width="10.85546875" customWidth="1"/>
    <col min="5130" max="5130" width="14" bestFit="1" customWidth="1"/>
    <col min="5131" max="5131" width="19.140625" customWidth="1"/>
    <col min="5133" max="5133" width="14.5703125" customWidth="1"/>
    <col min="5134" max="5134" width="13.7109375" customWidth="1"/>
    <col min="5135" max="5135" width="16.7109375" customWidth="1"/>
    <col min="5136" max="5136" width="17" customWidth="1"/>
    <col min="5380" max="5380" width="20.42578125" customWidth="1"/>
    <col min="5382" max="5382" width="11" customWidth="1"/>
    <col min="5384" max="5384" width="15.7109375" customWidth="1"/>
    <col min="5385" max="5385" width="10.85546875" customWidth="1"/>
    <col min="5386" max="5386" width="14" bestFit="1" customWidth="1"/>
    <col min="5387" max="5387" width="19.140625" customWidth="1"/>
    <col min="5389" max="5389" width="14.5703125" customWidth="1"/>
    <col min="5390" max="5390" width="13.7109375" customWidth="1"/>
    <col min="5391" max="5391" width="16.7109375" customWidth="1"/>
    <col min="5392" max="5392" width="17" customWidth="1"/>
    <col min="5636" max="5636" width="20.42578125" customWidth="1"/>
    <col min="5638" max="5638" width="11" customWidth="1"/>
    <col min="5640" max="5640" width="15.7109375" customWidth="1"/>
    <col min="5641" max="5641" width="10.85546875" customWidth="1"/>
    <col min="5642" max="5642" width="14" bestFit="1" customWidth="1"/>
    <col min="5643" max="5643" width="19.140625" customWidth="1"/>
    <col min="5645" max="5645" width="14.5703125" customWidth="1"/>
    <col min="5646" max="5646" width="13.7109375" customWidth="1"/>
    <col min="5647" max="5647" width="16.7109375" customWidth="1"/>
    <col min="5648" max="5648" width="17" customWidth="1"/>
    <col min="5892" max="5892" width="20.42578125" customWidth="1"/>
    <col min="5894" max="5894" width="11" customWidth="1"/>
    <col min="5896" max="5896" width="15.7109375" customWidth="1"/>
    <col min="5897" max="5897" width="10.85546875" customWidth="1"/>
    <col min="5898" max="5898" width="14" bestFit="1" customWidth="1"/>
    <col min="5899" max="5899" width="19.140625" customWidth="1"/>
    <col min="5901" max="5901" width="14.5703125" customWidth="1"/>
    <col min="5902" max="5902" width="13.7109375" customWidth="1"/>
    <col min="5903" max="5903" width="16.7109375" customWidth="1"/>
    <col min="5904" max="5904" width="17" customWidth="1"/>
    <col min="6148" max="6148" width="20.42578125" customWidth="1"/>
    <col min="6150" max="6150" width="11" customWidth="1"/>
    <col min="6152" max="6152" width="15.7109375" customWidth="1"/>
    <col min="6153" max="6153" width="10.85546875" customWidth="1"/>
    <col min="6154" max="6154" width="14" bestFit="1" customWidth="1"/>
    <col min="6155" max="6155" width="19.140625" customWidth="1"/>
    <col min="6157" max="6157" width="14.5703125" customWidth="1"/>
    <col min="6158" max="6158" width="13.7109375" customWidth="1"/>
    <col min="6159" max="6159" width="16.7109375" customWidth="1"/>
    <col min="6160" max="6160" width="17" customWidth="1"/>
    <col min="6404" max="6404" width="20.42578125" customWidth="1"/>
    <col min="6406" max="6406" width="11" customWidth="1"/>
    <col min="6408" max="6408" width="15.7109375" customWidth="1"/>
    <col min="6409" max="6409" width="10.85546875" customWidth="1"/>
    <col min="6410" max="6410" width="14" bestFit="1" customWidth="1"/>
    <col min="6411" max="6411" width="19.140625" customWidth="1"/>
    <col min="6413" max="6413" width="14.5703125" customWidth="1"/>
    <col min="6414" max="6414" width="13.7109375" customWidth="1"/>
    <col min="6415" max="6415" width="16.7109375" customWidth="1"/>
    <col min="6416" max="6416" width="17" customWidth="1"/>
    <col min="6660" max="6660" width="20.42578125" customWidth="1"/>
    <col min="6662" max="6662" width="11" customWidth="1"/>
    <col min="6664" max="6664" width="15.7109375" customWidth="1"/>
    <col min="6665" max="6665" width="10.85546875" customWidth="1"/>
    <col min="6666" max="6666" width="14" bestFit="1" customWidth="1"/>
    <col min="6667" max="6667" width="19.140625" customWidth="1"/>
    <col min="6669" max="6669" width="14.5703125" customWidth="1"/>
    <col min="6670" max="6670" width="13.7109375" customWidth="1"/>
    <col min="6671" max="6671" width="16.7109375" customWidth="1"/>
    <col min="6672" max="6672" width="17" customWidth="1"/>
    <col min="6916" max="6916" width="20.42578125" customWidth="1"/>
    <col min="6918" max="6918" width="11" customWidth="1"/>
    <col min="6920" max="6920" width="15.7109375" customWidth="1"/>
    <col min="6921" max="6921" width="10.85546875" customWidth="1"/>
    <col min="6922" max="6922" width="14" bestFit="1" customWidth="1"/>
    <col min="6923" max="6923" width="19.140625" customWidth="1"/>
    <col min="6925" max="6925" width="14.5703125" customWidth="1"/>
    <col min="6926" max="6926" width="13.7109375" customWidth="1"/>
    <col min="6927" max="6927" width="16.7109375" customWidth="1"/>
    <col min="6928" max="6928" width="17" customWidth="1"/>
    <col min="7172" max="7172" width="20.42578125" customWidth="1"/>
    <col min="7174" max="7174" width="11" customWidth="1"/>
    <col min="7176" max="7176" width="15.7109375" customWidth="1"/>
    <col min="7177" max="7177" width="10.85546875" customWidth="1"/>
    <col min="7178" max="7178" width="14" bestFit="1" customWidth="1"/>
    <col min="7179" max="7179" width="19.140625" customWidth="1"/>
    <col min="7181" max="7181" width="14.5703125" customWidth="1"/>
    <col min="7182" max="7182" width="13.7109375" customWidth="1"/>
    <col min="7183" max="7183" width="16.7109375" customWidth="1"/>
    <col min="7184" max="7184" width="17" customWidth="1"/>
    <col min="7428" max="7428" width="20.42578125" customWidth="1"/>
    <col min="7430" max="7430" width="11" customWidth="1"/>
    <col min="7432" max="7432" width="15.7109375" customWidth="1"/>
    <col min="7433" max="7433" width="10.85546875" customWidth="1"/>
    <col min="7434" max="7434" width="14" bestFit="1" customWidth="1"/>
    <col min="7435" max="7435" width="19.140625" customWidth="1"/>
    <col min="7437" max="7437" width="14.5703125" customWidth="1"/>
    <col min="7438" max="7438" width="13.7109375" customWidth="1"/>
    <col min="7439" max="7439" width="16.7109375" customWidth="1"/>
    <col min="7440" max="7440" width="17" customWidth="1"/>
    <col min="7684" max="7684" width="20.42578125" customWidth="1"/>
    <col min="7686" max="7686" width="11" customWidth="1"/>
    <col min="7688" max="7688" width="15.7109375" customWidth="1"/>
    <col min="7689" max="7689" width="10.85546875" customWidth="1"/>
    <col min="7690" max="7690" width="14" bestFit="1" customWidth="1"/>
    <col min="7691" max="7691" width="19.140625" customWidth="1"/>
    <col min="7693" max="7693" width="14.5703125" customWidth="1"/>
    <col min="7694" max="7694" width="13.7109375" customWidth="1"/>
    <col min="7695" max="7695" width="16.7109375" customWidth="1"/>
    <col min="7696" max="7696" width="17" customWidth="1"/>
    <col min="7940" max="7940" width="20.42578125" customWidth="1"/>
    <col min="7942" max="7942" width="11" customWidth="1"/>
    <col min="7944" max="7944" width="15.7109375" customWidth="1"/>
    <col min="7945" max="7945" width="10.85546875" customWidth="1"/>
    <col min="7946" max="7946" width="14" bestFit="1" customWidth="1"/>
    <col min="7947" max="7947" width="19.140625" customWidth="1"/>
    <col min="7949" max="7949" width="14.5703125" customWidth="1"/>
    <col min="7950" max="7950" width="13.7109375" customWidth="1"/>
    <col min="7951" max="7951" width="16.7109375" customWidth="1"/>
    <col min="7952" max="7952" width="17" customWidth="1"/>
    <col min="8196" max="8196" width="20.42578125" customWidth="1"/>
    <col min="8198" max="8198" width="11" customWidth="1"/>
    <col min="8200" max="8200" width="15.7109375" customWidth="1"/>
    <col min="8201" max="8201" width="10.85546875" customWidth="1"/>
    <col min="8202" max="8202" width="14" bestFit="1" customWidth="1"/>
    <col min="8203" max="8203" width="19.140625" customWidth="1"/>
    <col min="8205" max="8205" width="14.5703125" customWidth="1"/>
    <col min="8206" max="8206" width="13.7109375" customWidth="1"/>
    <col min="8207" max="8207" width="16.7109375" customWidth="1"/>
    <col min="8208" max="8208" width="17" customWidth="1"/>
    <col min="8452" max="8452" width="20.42578125" customWidth="1"/>
    <col min="8454" max="8454" width="11" customWidth="1"/>
    <col min="8456" max="8456" width="15.7109375" customWidth="1"/>
    <col min="8457" max="8457" width="10.85546875" customWidth="1"/>
    <col min="8458" max="8458" width="14" bestFit="1" customWidth="1"/>
    <col min="8459" max="8459" width="19.140625" customWidth="1"/>
    <col min="8461" max="8461" width="14.5703125" customWidth="1"/>
    <col min="8462" max="8462" width="13.7109375" customWidth="1"/>
    <col min="8463" max="8463" width="16.7109375" customWidth="1"/>
    <col min="8464" max="8464" width="17" customWidth="1"/>
    <col min="8708" max="8708" width="20.42578125" customWidth="1"/>
    <col min="8710" max="8710" width="11" customWidth="1"/>
    <col min="8712" max="8712" width="15.7109375" customWidth="1"/>
    <col min="8713" max="8713" width="10.85546875" customWidth="1"/>
    <col min="8714" max="8714" width="14" bestFit="1" customWidth="1"/>
    <col min="8715" max="8715" width="19.140625" customWidth="1"/>
    <col min="8717" max="8717" width="14.5703125" customWidth="1"/>
    <col min="8718" max="8718" width="13.7109375" customWidth="1"/>
    <col min="8719" max="8719" width="16.7109375" customWidth="1"/>
    <col min="8720" max="8720" width="17" customWidth="1"/>
    <col min="8964" max="8964" width="20.42578125" customWidth="1"/>
    <col min="8966" max="8966" width="11" customWidth="1"/>
    <col min="8968" max="8968" width="15.7109375" customWidth="1"/>
    <col min="8969" max="8969" width="10.85546875" customWidth="1"/>
    <col min="8970" max="8970" width="14" bestFit="1" customWidth="1"/>
    <col min="8971" max="8971" width="19.140625" customWidth="1"/>
    <col min="8973" max="8973" width="14.5703125" customWidth="1"/>
    <col min="8974" max="8974" width="13.7109375" customWidth="1"/>
    <col min="8975" max="8975" width="16.7109375" customWidth="1"/>
    <col min="8976" max="8976" width="17" customWidth="1"/>
    <col min="9220" max="9220" width="20.42578125" customWidth="1"/>
    <col min="9222" max="9222" width="11" customWidth="1"/>
    <col min="9224" max="9224" width="15.7109375" customWidth="1"/>
    <col min="9225" max="9225" width="10.85546875" customWidth="1"/>
    <col min="9226" max="9226" width="14" bestFit="1" customWidth="1"/>
    <col min="9227" max="9227" width="19.140625" customWidth="1"/>
    <col min="9229" max="9229" width="14.5703125" customWidth="1"/>
    <col min="9230" max="9230" width="13.7109375" customWidth="1"/>
    <col min="9231" max="9231" width="16.7109375" customWidth="1"/>
    <col min="9232" max="9232" width="17" customWidth="1"/>
    <col min="9476" max="9476" width="20.42578125" customWidth="1"/>
    <col min="9478" max="9478" width="11" customWidth="1"/>
    <col min="9480" max="9480" width="15.7109375" customWidth="1"/>
    <col min="9481" max="9481" width="10.85546875" customWidth="1"/>
    <col min="9482" max="9482" width="14" bestFit="1" customWidth="1"/>
    <col min="9483" max="9483" width="19.140625" customWidth="1"/>
    <col min="9485" max="9485" width="14.5703125" customWidth="1"/>
    <col min="9486" max="9486" width="13.7109375" customWidth="1"/>
    <col min="9487" max="9487" width="16.7109375" customWidth="1"/>
    <col min="9488" max="9488" width="17" customWidth="1"/>
    <col min="9732" max="9732" width="20.42578125" customWidth="1"/>
    <col min="9734" max="9734" width="11" customWidth="1"/>
    <col min="9736" max="9736" width="15.7109375" customWidth="1"/>
    <col min="9737" max="9737" width="10.85546875" customWidth="1"/>
    <col min="9738" max="9738" width="14" bestFit="1" customWidth="1"/>
    <col min="9739" max="9739" width="19.140625" customWidth="1"/>
    <col min="9741" max="9741" width="14.5703125" customWidth="1"/>
    <col min="9742" max="9742" width="13.7109375" customWidth="1"/>
    <col min="9743" max="9743" width="16.7109375" customWidth="1"/>
    <col min="9744" max="9744" width="17" customWidth="1"/>
    <col min="9988" max="9988" width="20.42578125" customWidth="1"/>
    <col min="9990" max="9990" width="11" customWidth="1"/>
    <col min="9992" max="9992" width="15.7109375" customWidth="1"/>
    <col min="9993" max="9993" width="10.85546875" customWidth="1"/>
    <col min="9994" max="9994" width="14" bestFit="1" customWidth="1"/>
    <col min="9995" max="9995" width="19.140625" customWidth="1"/>
    <col min="9997" max="9997" width="14.5703125" customWidth="1"/>
    <col min="9998" max="9998" width="13.7109375" customWidth="1"/>
    <col min="9999" max="9999" width="16.7109375" customWidth="1"/>
    <col min="10000" max="10000" width="17" customWidth="1"/>
    <col min="10244" max="10244" width="20.42578125" customWidth="1"/>
    <col min="10246" max="10246" width="11" customWidth="1"/>
    <col min="10248" max="10248" width="15.7109375" customWidth="1"/>
    <col min="10249" max="10249" width="10.85546875" customWidth="1"/>
    <col min="10250" max="10250" width="14" bestFit="1" customWidth="1"/>
    <col min="10251" max="10251" width="19.140625" customWidth="1"/>
    <col min="10253" max="10253" width="14.5703125" customWidth="1"/>
    <col min="10254" max="10254" width="13.7109375" customWidth="1"/>
    <col min="10255" max="10255" width="16.7109375" customWidth="1"/>
    <col min="10256" max="10256" width="17" customWidth="1"/>
    <col min="10500" max="10500" width="20.42578125" customWidth="1"/>
    <col min="10502" max="10502" width="11" customWidth="1"/>
    <col min="10504" max="10504" width="15.7109375" customWidth="1"/>
    <col min="10505" max="10505" width="10.85546875" customWidth="1"/>
    <col min="10506" max="10506" width="14" bestFit="1" customWidth="1"/>
    <col min="10507" max="10507" width="19.140625" customWidth="1"/>
    <col min="10509" max="10509" width="14.5703125" customWidth="1"/>
    <col min="10510" max="10510" width="13.7109375" customWidth="1"/>
    <col min="10511" max="10511" width="16.7109375" customWidth="1"/>
    <col min="10512" max="10512" width="17" customWidth="1"/>
    <col min="10756" max="10756" width="20.42578125" customWidth="1"/>
    <col min="10758" max="10758" width="11" customWidth="1"/>
    <col min="10760" max="10760" width="15.7109375" customWidth="1"/>
    <col min="10761" max="10761" width="10.85546875" customWidth="1"/>
    <col min="10762" max="10762" width="14" bestFit="1" customWidth="1"/>
    <col min="10763" max="10763" width="19.140625" customWidth="1"/>
    <col min="10765" max="10765" width="14.5703125" customWidth="1"/>
    <col min="10766" max="10766" width="13.7109375" customWidth="1"/>
    <col min="10767" max="10767" width="16.7109375" customWidth="1"/>
    <col min="10768" max="10768" width="17" customWidth="1"/>
    <col min="11012" max="11012" width="20.42578125" customWidth="1"/>
    <col min="11014" max="11014" width="11" customWidth="1"/>
    <col min="11016" max="11016" width="15.7109375" customWidth="1"/>
    <col min="11017" max="11017" width="10.85546875" customWidth="1"/>
    <col min="11018" max="11018" width="14" bestFit="1" customWidth="1"/>
    <col min="11019" max="11019" width="19.140625" customWidth="1"/>
    <col min="11021" max="11021" width="14.5703125" customWidth="1"/>
    <col min="11022" max="11022" width="13.7109375" customWidth="1"/>
    <col min="11023" max="11023" width="16.7109375" customWidth="1"/>
    <col min="11024" max="11024" width="17" customWidth="1"/>
    <col min="11268" max="11268" width="20.42578125" customWidth="1"/>
    <col min="11270" max="11270" width="11" customWidth="1"/>
    <col min="11272" max="11272" width="15.7109375" customWidth="1"/>
    <col min="11273" max="11273" width="10.85546875" customWidth="1"/>
    <col min="11274" max="11274" width="14" bestFit="1" customWidth="1"/>
    <col min="11275" max="11275" width="19.140625" customWidth="1"/>
    <col min="11277" max="11277" width="14.5703125" customWidth="1"/>
    <col min="11278" max="11278" width="13.7109375" customWidth="1"/>
    <col min="11279" max="11279" width="16.7109375" customWidth="1"/>
    <col min="11280" max="11280" width="17" customWidth="1"/>
    <col min="11524" max="11524" width="20.42578125" customWidth="1"/>
    <col min="11526" max="11526" width="11" customWidth="1"/>
    <col min="11528" max="11528" width="15.7109375" customWidth="1"/>
    <col min="11529" max="11529" width="10.85546875" customWidth="1"/>
    <col min="11530" max="11530" width="14" bestFit="1" customWidth="1"/>
    <col min="11531" max="11531" width="19.140625" customWidth="1"/>
    <col min="11533" max="11533" width="14.5703125" customWidth="1"/>
    <col min="11534" max="11534" width="13.7109375" customWidth="1"/>
    <col min="11535" max="11535" width="16.7109375" customWidth="1"/>
    <col min="11536" max="11536" width="17" customWidth="1"/>
    <col min="11780" max="11780" width="20.42578125" customWidth="1"/>
    <col min="11782" max="11782" width="11" customWidth="1"/>
    <col min="11784" max="11784" width="15.7109375" customWidth="1"/>
    <col min="11785" max="11785" width="10.85546875" customWidth="1"/>
    <col min="11786" max="11786" width="14" bestFit="1" customWidth="1"/>
    <col min="11787" max="11787" width="19.140625" customWidth="1"/>
    <col min="11789" max="11789" width="14.5703125" customWidth="1"/>
    <col min="11790" max="11790" width="13.7109375" customWidth="1"/>
    <col min="11791" max="11791" width="16.7109375" customWidth="1"/>
    <col min="11792" max="11792" width="17" customWidth="1"/>
    <col min="12036" max="12036" width="20.42578125" customWidth="1"/>
    <col min="12038" max="12038" width="11" customWidth="1"/>
    <col min="12040" max="12040" width="15.7109375" customWidth="1"/>
    <col min="12041" max="12041" width="10.85546875" customWidth="1"/>
    <col min="12042" max="12042" width="14" bestFit="1" customWidth="1"/>
    <col min="12043" max="12043" width="19.140625" customWidth="1"/>
    <col min="12045" max="12045" width="14.5703125" customWidth="1"/>
    <col min="12046" max="12046" width="13.7109375" customWidth="1"/>
    <col min="12047" max="12047" width="16.7109375" customWidth="1"/>
    <col min="12048" max="12048" width="17" customWidth="1"/>
    <col min="12292" max="12292" width="20.42578125" customWidth="1"/>
    <col min="12294" max="12294" width="11" customWidth="1"/>
    <col min="12296" max="12296" width="15.7109375" customWidth="1"/>
    <col min="12297" max="12297" width="10.85546875" customWidth="1"/>
    <col min="12298" max="12298" width="14" bestFit="1" customWidth="1"/>
    <col min="12299" max="12299" width="19.140625" customWidth="1"/>
    <col min="12301" max="12301" width="14.5703125" customWidth="1"/>
    <col min="12302" max="12302" width="13.7109375" customWidth="1"/>
    <col min="12303" max="12303" width="16.7109375" customWidth="1"/>
    <col min="12304" max="12304" width="17" customWidth="1"/>
    <col min="12548" max="12548" width="20.42578125" customWidth="1"/>
    <col min="12550" max="12550" width="11" customWidth="1"/>
    <col min="12552" max="12552" width="15.7109375" customWidth="1"/>
    <col min="12553" max="12553" width="10.85546875" customWidth="1"/>
    <col min="12554" max="12554" width="14" bestFit="1" customWidth="1"/>
    <col min="12555" max="12555" width="19.140625" customWidth="1"/>
    <col min="12557" max="12557" width="14.5703125" customWidth="1"/>
    <col min="12558" max="12558" width="13.7109375" customWidth="1"/>
    <col min="12559" max="12559" width="16.7109375" customWidth="1"/>
    <col min="12560" max="12560" width="17" customWidth="1"/>
    <col min="12804" max="12804" width="20.42578125" customWidth="1"/>
    <col min="12806" max="12806" width="11" customWidth="1"/>
    <col min="12808" max="12808" width="15.7109375" customWidth="1"/>
    <col min="12809" max="12809" width="10.85546875" customWidth="1"/>
    <col min="12810" max="12810" width="14" bestFit="1" customWidth="1"/>
    <col min="12811" max="12811" width="19.140625" customWidth="1"/>
    <col min="12813" max="12813" width="14.5703125" customWidth="1"/>
    <col min="12814" max="12814" width="13.7109375" customWidth="1"/>
    <col min="12815" max="12815" width="16.7109375" customWidth="1"/>
    <col min="12816" max="12816" width="17" customWidth="1"/>
    <col min="13060" max="13060" width="20.42578125" customWidth="1"/>
    <col min="13062" max="13062" width="11" customWidth="1"/>
    <col min="13064" max="13064" width="15.7109375" customWidth="1"/>
    <col min="13065" max="13065" width="10.85546875" customWidth="1"/>
    <col min="13066" max="13066" width="14" bestFit="1" customWidth="1"/>
    <col min="13067" max="13067" width="19.140625" customWidth="1"/>
    <col min="13069" max="13069" width="14.5703125" customWidth="1"/>
    <col min="13070" max="13070" width="13.7109375" customWidth="1"/>
    <col min="13071" max="13071" width="16.7109375" customWidth="1"/>
    <col min="13072" max="13072" width="17" customWidth="1"/>
    <col min="13316" max="13316" width="20.42578125" customWidth="1"/>
    <col min="13318" max="13318" width="11" customWidth="1"/>
    <col min="13320" max="13320" width="15.7109375" customWidth="1"/>
    <col min="13321" max="13321" width="10.85546875" customWidth="1"/>
    <col min="13322" max="13322" width="14" bestFit="1" customWidth="1"/>
    <col min="13323" max="13323" width="19.140625" customWidth="1"/>
    <col min="13325" max="13325" width="14.5703125" customWidth="1"/>
    <col min="13326" max="13326" width="13.7109375" customWidth="1"/>
    <col min="13327" max="13327" width="16.7109375" customWidth="1"/>
    <col min="13328" max="13328" width="17" customWidth="1"/>
    <col min="13572" max="13572" width="20.42578125" customWidth="1"/>
    <col min="13574" max="13574" width="11" customWidth="1"/>
    <col min="13576" max="13576" width="15.7109375" customWidth="1"/>
    <col min="13577" max="13577" width="10.85546875" customWidth="1"/>
    <col min="13578" max="13578" width="14" bestFit="1" customWidth="1"/>
    <col min="13579" max="13579" width="19.140625" customWidth="1"/>
    <col min="13581" max="13581" width="14.5703125" customWidth="1"/>
    <col min="13582" max="13582" width="13.7109375" customWidth="1"/>
    <col min="13583" max="13583" width="16.7109375" customWidth="1"/>
    <col min="13584" max="13584" width="17" customWidth="1"/>
    <col min="13828" max="13828" width="20.42578125" customWidth="1"/>
    <col min="13830" max="13830" width="11" customWidth="1"/>
    <col min="13832" max="13832" width="15.7109375" customWidth="1"/>
    <col min="13833" max="13833" width="10.85546875" customWidth="1"/>
    <col min="13834" max="13834" width="14" bestFit="1" customWidth="1"/>
    <col min="13835" max="13835" width="19.140625" customWidth="1"/>
    <col min="13837" max="13837" width="14.5703125" customWidth="1"/>
    <col min="13838" max="13838" width="13.7109375" customWidth="1"/>
    <col min="13839" max="13839" width="16.7109375" customWidth="1"/>
    <col min="13840" max="13840" width="17" customWidth="1"/>
    <col min="14084" max="14084" width="20.42578125" customWidth="1"/>
    <col min="14086" max="14086" width="11" customWidth="1"/>
    <col min="14088" max="14088" width="15.7109375" customWidth="1"/>
    <col min="14089" max="14089" width="10.85546875" customWidth="1"/>
    <col min="14090" max="14090" width="14" bestFit="1" customWidth="1"/>
    <col min="14091" max="14091" width="19.140625" customWidth="1"/>
    <col min="14093" max="14093" width="14.5703125" customWidth="1"/>
    <col min="14094" max="14094" width="13.7109375" customWidth="1"/>
    <col min="14095" max="14095" width="16.7109375" customWidth="1"/>
    <col min="14096" max="14096" width="17" customWidth="1"/>
    <col min="14340" max="14340" width="20.42578125" customWidth="1"/>
    <col min="14342" max="14342" width="11" customWidth="1"/>
    <col min="14344" max="14344" width="15.7109375" customWidth="1"/>
    <col min="14345" max="14345" width="10.85546875" customWidth="1"/>
    <col min="14346" max="14346" width="14" bestFit="1" customWidth="1"/>
    <col min="14347" max="14347" width="19.140625" customWidth="1"/>
    <col min="14349" max="14349" width="14.5703125" customWidth="1"/>
    <col min="14350" max="14350" width="13.7109375" customWidth="1"/>
    <col min="14351" max="14351" width="16.7109375" customWidth="1"/>
    <col min="14352" max="14352" width="17" customWidth="1"/>
    <col min="14596" max="14596" width="20.42578125" customWidth="1"/>
    <col min="14598" max="14598" width="11" customWidth="1"/>
    <col min="14600" max="14600" width="15.7109375" customWidth="1"/>
    <col min="14601" max="14601" width="10.85546875" customWidth="1"/>
    <col min="14602" max="14602" width="14" bestFit="1" customWidth="1"/>
    <col min="14603" max="14603" width="19.140625" customWidth="1"/>
    <col min="14605" max="14605" width="14.5703125" customWidth="1"/>
    <col min="14606" max="14606" width="13.7109375" customWidth="1"/>
    <col min="14607" max="14607" width="16.7109375" customWidth="1"/>
    <col min="14608" max="14608" width="17" customWidth="1"/>
    <col min="14852" max="14852" width="20.42578125" customWidth="1"/>
    <col min="14854" max="14854" width="11" customWidth="1"/>
    <col min="14856" max="14856" width="15.7109375" customWidth="1"/>
    <col min="14857" max="14857" width="10.85546875" customWidth="1"/>
    <col min="14858" max="14858" width="14" bestFit="1" customWidth="1"/>
    <col min="14859" max="14859" width="19.140625" customWidth="1"/>
    <col min="14861" max="14861" width="14.5703125" customWidth="1"/>
    <col min="14862" max="14862" width="13.7109375" customWidth="1"/>
    <col min="14863" max="14863" width="16.7109375" customWidth="1"/>
    <col min="14864" max="14864" width="17" customWidth="1"/>
    <col min="15108" max="15108" width="20.42578125" customWidth="1"/>
    <col min="15110" max="15110" width="11" customWidth="1"/>
    <col min="15112" max="15112" width="15.7109375" customWidth="1"/>
    <col min="15113" max="15113" width="10.85546875" customWidth="1"/>
    <col min="15114" max="15114" width="14" bestFit="1" customWidth="1"/>
    <col min="15115" max="15115" width="19.140625" customWidth="1"/>
    <col min="15117" max="15117" width="14.5703125" customWidth="1"/>
    <col min="15118" max="15118" width="13.7109375" customWidth="1"/>
    <col min="15119" max="15119" width="16.7109375" customWidth="1"/>
    <col min="15120" max="15120" width="17" customWidth="1"/>
    <col min="15364" max="15364" width="20.42578125" customWidth="1"/>
    <col min="15366" max="15366" width="11" customWidth="1"/>
    <col min="15368" max="15368" width="15.7109375" customWidth="1"/>
    <col min="15369" max="15369" width="10.85546875" customWidth="1"/>
    <col min="15370" max="15370" width="14" bestFit="1" customWidth="1"/>
    <col min="15371" max="15371" width="19.140625" customWidth="1"/>
    <col min="15373" max="15373" width="14.5703125" customWidth="1"/>
    <col min="15374" max="15374" width="13.7109375" customWidth="1"/>
    <col min="15375" max="15375" width="16.7109375" customWidth="1"/>
    <col min="15376" max="15376" width="17" customWidth="1"/>
    <col min="15620" max="15620" width="20.42578125" customWidth="1"/>
    <col min="15622" max="15622" width="11" customWidth="1"/>
    <col min="15624" max="15624" width="15.7109375" customWidth="1"/>
    <col min="15625" max="15625" width="10.85546875" customWidth="1"/>
    <col min="15626" max="15626" width="14" bestFit="1" customWidth="1"/>
    <col min="15627" max="15627" width="19.140625" customWidth="1"/>
    <col min="15629" max="15629" width="14.5703125" customWidth="1"/>
    <col min="15630" max="15630" width="13.7109375" customWidth="1"/>
    <col min="15631" max="15631" width="16.7109375" customWidth="1"/>
    <col min="15632" max="15632" width="17" customWidth="1"/>
    <col min="15876" max="15876" width="20.42578125" customWidth="1"/>
    <col min="15878" max="15878" width="11" customWidth="1"/>
    <col min="15880" max="15880" width="15.7109375" customWidth="1"/>
    <col min="15881" max="15881" width="10.85546875" customWidth="1"/>
    <col min="15882" max="15882" width="14" bestFit="1" customWidth="1"/>
    <col min="15883" max="15883" width="19.140625" customWidth="1"/>
    <col min="15885" max="15885" width="14.5703125" customWidth="1"/>
    <col min="15886" max="15886" width="13.7109375" customWidth="1"/>
    <col min="15887" max="15887" width="16.7109375" customWidth="1"/>
    <col min="15888" max="15888" width="17" customWidth="1"/>
    <col min="16132" max="16132" width="20.42578125" customWidth="1"/>
    <col min="16134" max="16134" width="11" customWidth="1"/>
    <col min="16136" max="16136" width="15.7109375" customWidth="1"/>
    <col min="16137" max="16137" width="10.85546875" customWidth="1"/>
    <col min="16138" max="16138" width="14" bestFit="1" customWidth="1"/>
    <col min="16139" max="16139" width="19.140625" customWidth="1"/>
    <col min="16141" max="16141" width="14.5703125" customWidth="1"/>
    <col min="16142" max="16142" width="13.7109375" customWidth="1"/>
    <col min="16143" max="16143" width="16.7109375" customWidth="1"/>
    <col min="16144" max="16144" width="17" customWidth="1"/>
  </cols>
  <sheetData>
    <row r="2" spans="1:25" ht="15.75" thickBot="1" x14ac:dyDescent="0.3">
      <c r="G2" s="31"/>
    </row>
    <row r="3" spans="1:25" ht="21" thickBot="1" x14ac:dyDescent="0.3">
      <c r="B3" s="637" t="s">
        <v>80</v>
      </c>
      <c r="C3" s="637"/>
      <c r="D3" s="486"/>
      <c r="E3" s="486"/>
      <c r="F3" s="20">
        <v>0</v>
      </c>
    </row>
    <row r="4" spans="1:25" x14ac:dyDescent="0.25">
      <c r="Q4" s="561"/>
      <c r="R4" s="561"/>
      <c r="S4" s="561"/>
      <c r="T4" s="561"/>
      <c r="V4" s="561"/>
      <c r="W4" s="561"/>
      <c r="X4" s="561"/>
      <c r="Y4" s="561"/>
    </row>
    <row r="5" spans="1:25" ht="15" customHeight="1" thickBot="1" x14ac:dyDescent="0.3">
      <c r="Q5" s="561"/>
      <c r="R5" s="561"/>
      <c r="S5" s="561"/>
      <c r="T5" s="561"/>
      <c r="V5" s="561"/>
      <c r="W5" s="561"/>
      <c r="X5" s="561"/>
      <c r="Y5" s="561"/>
    </row>
    <row r="6" spans="1:25" ht="45" customHeight="1" thickBot="1" x14ac:dyDescent="0.3">
      <c r="E6" s="482" t="s">
        <v>222</v>
      </c>
    </row>
    <row r="7" spans="1:25" ht="38.25" customHeight="1" thickBot="1" x14ac:dyDescent="0.3">
      <c r="A7" s="21" t="s">
        <v>81</v>
      </c>
      <c r="B7" s="638" t="s">
        <v>82</v>
      </c>
      <c r="C7" s="639"/>
      <c r="D7" s="510" t="s">
        <v>107</v>
      </c>
      <c r="E7" s="511" t="s">
        <v>108</v>
      </c>
      <c r="G7" s="22" t="s">
        <v>83</v>
      </c>
      <c r="H7" s="23" t="s">
        <v>84</v>
      </c>
      <c r="I7" s="24" t="s">
        <v>85</v>
      </c>
      <c r="J7" s="25" t="s">
        <v>86</v>
      </c>
      <c r="L7" s="22" t="s">
        <v>87</v>
      </c>
      <c r="M7" s="23" t="s">
        <v>84</v>
      </c>
      <c r="N7" s="24" t="s">
        <v>85</v>
      </c>
      <c r="O7" s="25" t="s">
        <v>86</v>
      </c>
      <c r="Q7" s="32"/>
      <c r="R7" s="33"/>
      <c r="S7" s="34"/>
      <c r="T7" s="35"/>
      <c r="V7" s="32"/>
      <c r="W7" s="33"/>
      <c r="X7" s="34"/>
      <c r="Y7" s="35"/>
    </row>
    <row r="8" spans="1:25" x14ac:dyDescent="0.25">
      <c r="A8" s="313" t="s">
        <v>44</v>
      </c>
      <c r="B8" s="507">
        <v>0</v>
      </c>
      <c r="C8" s="508" t="s">
        <v>88</v>
      </c>
      <c r="D8" s="508">
        <v>1</v>
      </c>
      <c r="E8" s="509">
        <f t="shared" ref="E8:E52" si="0">B8*D8</f>
        <v>0</v>
      </c>
      <c r="G8" s="26">
        <f>E8*$F$3/400</f>
        <v>0</v>
      </c>
      <c r="H8" s="14" t="s">
        <v>38</v>
      </c>
      <c r="I8" s="29"/>
      <c r="J8" s="27">
        <f t="shared" ref="J8:J51" si="1">G8*I8</f>
        <v>0</v>
      </c>
      <c r="L8" s="28">
        <f t="shared" ref="L8:L51" si="2">G8*4</f>
        <v>0</v>
      </c>
      <c r="M8" s="14" t="s">
        <v>38</v>
      </c>
      <c r="N8" s="29"/>
      <c r="O8" s="27">
        <f t="shared" ref="O8:O51" si="3">L8*N8</f>
        <v>0</v>
      </c>
      <c r="Q8" s="2"/>
      <c r="R8" s="36"/>
      <c r="S8" s="37"/>
      <c r="T8" s="12"/>
      <c r="V8" s="2"/>
      <c r="W8" s="36"/>
      <c r="X8" s="37"/>
      <c r="Y8" s="12"/>
    </row>
    <row r="9" spans="1:25" x14ac:dyDescent="0.25">
      <c r="A9" s="7" t="s">
        <v>28</v>
      </c>
      <c r="B9" s="1">
        <f>'Cardápio CMEI Berçário I'!B226</f>
        <v>10</v>
      </c>
      <c r="C9" s="57" t="s">
        <v>88</v>
      </c>
      <c r="D9" s="57">
        <v>1</v>
      </c>
      <c r="E9" s="509">
        <f t="shared" si="0"/>
        <v>10</v>
      </c>
      <c r="G9" s="26">
        <f>E9*$F$3/1000</f>
        <v>0</v>
      </c>
      <c r="H9" s="14" t="s">
        <v>25</v>
      </c>
      <c r="I9" s="29"/>
      <c r="J9" s="27">
        <f t="shared" si="1"/>
        <v>0</v>
      </c>
      <c r="L9" s="28">
        <f t="shared" si="2"/>
        <v>0</v>
      </c>
      <c r="M9" s="14" t="s">
        <v>25</v>
      </c>
      <c r="N9" s="29"/>
      <c r="O9" s="27">
        <f t="shared" si="3"/>
        <v>0</v>
      </c>
      <c r="Q9" s="10"/>
      <c r="R9" s="36"/>
      <c r="S9" s="37"/>
      <c r="T9" s="12"/>
      <c r="V9" s="10"/>
      <c r="W9" s="36"/>
      <c r="X9" s="37"/>
      <c r="Y9" s="12"/>
    </row>
    <row r="10" spans="1:25" x14ac:dyDescent="0.25">
      <c r="A10" s="3" t="s">
        <v>3</v>
      </c>
      <c r="B10" s="307">
        <f>'Cardápio CMEI Berçário I'!B49+'Cardápio CMEI Berçário I'!K49+'Cardápio CMEI Berçário I'!T51+'Cardápio CMEI Berçário I'!B77+'Cardápio CMEI Berçário I'!B103+'Cardápio CMEI Berçário I'!K101+'Cardápio CMEI Berçário I'!T103+'Cardápio CMEI Berçário I'!B127+'Cardápio CMEI Berçário I'!B152+'Cardápio CMEI Berçário I'!K152+'Cardápio CMEI Berçário I'!T154+'Cardápio CMEI Berçário I'!B185+'Cardápio CMEI Berçário I'!B212+'Cardápio CMEI Berçário I'!K210+'Cardápio CMEI Berçário I'!T212+'Cardápio CMEI Berçário I'!B240+'Cardápio CMEI Berçário I'!B263+'Cardápio CMEI Berçário I'!B290</f>
        <v>7.200000000000002</v>
      </c>
      <c r="C10" s="57" t="s">
        <v>88</v>
      </c>
      <c r="D10" s="57">
        <v>1.18</v>
      </c>
      <c r="E10" s="509">
        <f t="shared" si="0"/>
        <v>8.4960000000000022</v>
      </c>
      <c r="G10" s="26">
        <f>E10*$F$3/1000</f>
        <v>0</v>
      </c>
      <c r="H10" s="14" t="s">
        <v>25</v>
      </c>
      <c r="I10" s="29"/>
      <c r="J10" s="27">
        <f t="shared" si="1"/>
        <v>0</v>
      </c>
      <c r="L10" s="28">
        <f t="shared" si="2"/>
        <v>0</v>
      </c>
      <c r="M10" s="14" t="s">
        <v>25</v>
      </c>
      <c r="N10" s="29"/>
      <c r="O10" s="27">
        <f t="shared" si="3"/>
        <v>0</v>
      </c>
      <c r="Q10" s="2"/>
      <c r="R10" s="36"/>
      <c r="S10" s="37"/>
      <c r="T10" s="12"/>
      <c r="V10" s="2"/>
      <c r="W10" s="36"/>
      <c r="X10" s="37"/>
      <c r="Y10" s="12"/>
    </row>
    <row r="11" spans="1:25" s="467" customFormat="1" x14ac:dyDescent="0.25">
      <c r="A11" s="3" t="s">
        <v>32</v>
      </c>
      <c r="B11" s="466">
        <v>0</v>
      </c>
      <c r="C11" s="57" t="s">
        <v>88</v>
      </c>
      <c r="D11" s="57">
        <v>1</v>
      </c>
      <c r="E11" s="509">
        <f t="shared" si="0"/>
        <v>0</v>
      </c>
      <c r="G11" s="468">
        <f>E11*$F$3/200</f>
        <v>0</v>
      </c>
      <c r="H11" s="14" t="s">
        <v>89</v>
      </c>
      <c r="I11" s="394"/>
      <c r="J11" s="469">
        <f t="shared" si="1"/>
        <v>0</v>
      </c>
      <c r="L11" s="470">
        <f t="shared" si="2"/>
        <v>0</v>
      </c>
      <c r="M11" s="14" t="s">
        <v>89</v>
      </c>
      <c r="N11" s="394"/>
      <c r="O11" s="469">
        <f t="shared" si="3"/>
        <v>0</v>
      </c>
      <c r="Q11" s="2"/>
      <c r="R11" s="471"/>
      <c r="S11" s="472"/>
      <c r="T11" s="12"/>
      <c r="U11" s="473"/>
      <c r="V11" s="2"/>
      <c r="W11" s="471"/>
      <c r="X11" s="472"/>
      <c r="Y11" s="12"/>
    </row>
    <row r="12" spans="1:25" x14ac:dyDescent="0.25">
      <c r="A12" s="7" t="s">
        <v>49</v>
      </c>
      <c r="B12" s="1">
        <v>0</v>
      </c>
      <c r="C12" s="57" t="s">
        <v>88</v>
      </c>
      <c r="D12" s="57">
        <v>1</v>
      </c>
      <c r="E12" s="509">
        <f t="shared" si="0"/>
        <v>0</v>
      </c>
      <c r="G12" s="26">
        <f t="shared" ref="G12:G17" si="4">E12*$F$3/1000</f>
        <v>0</v>
      </c>
      <c r="H12" s="14" t="s">
        <v>25</v>
      </c>
      <c r="I12" s="29"/>
      <c r="J12" s="27">
        <f t="shared" si="1"/>
        <v>0</v>
      </c>
      <c r="L12" s="28">
        <f t="shared" si="2"/>
        <v>0</v>
      </c>
      <c r="M12" s="14" t="s">
        <v>25</v>
      </c>
      <c r="N12" s="29"/>
      <c r="O12" s="27">
        <f t="shared" si="3"/>
        <v>0</v>
      </c>
      <c r="Q12" s="10"/>
      <c r="R12" s="36"/>
      <c r="S12" s="37"/>
      <c r="T12" s="12"/>
      <c r="V12" s="10"/>
      <c r="W12" s="36"/>
      <c r="X12" s="37"/>
      <c r="Y12" s="12"/>
    </row>
    <row r="13" spans="1:25" x14ac:dyDescent="0.25">
      <c r="A13" s="7" t="s">
        <v>63</v>
      </c>
      <c r="B13" s="1">
        <f>'Cardápio CMEI Berçário I'!K47+'Cardápio CMEI Berçário I'!B71+'Cardápio CMEI Berçário I'!K99+'Cardápio CMEI Berçário I'!K125+'Cardápio CMEI Berçário I'!K150+'Cardápio CMEI Berçário I'!K208+'Cardápio CMEI Berçário I'!T261</f>
        <v>130</v>
      </c>
      <c r="C13" s="57" t="s">
        <v>88</v>
      </c>
      <c r="D13" s="57">
        <v>1</v>
      </c>
      <c r="E13" s="509">
        <f t="shared" si="0"/>
        <v>130</v>
      </c>
      <c r="G13" s="26">
        <f t="shared" si="4"/>
        <v>0</v>
      </c>
      <c r="H13" s="14" t="s">
        <v>25</v>
      </c>
      <c r="I13" s="29"/>
      <c r="J13" s="27">
        <f t="shared" si="1"/>
        <v>0</v>
      </c>
      <c r="L13" s="28">
        <f t="shared" si="2"/>
        <v>0</v>
      </c>
      <c r="M13" s="14" t="s">
        <v>25</v>
      </c>
      <c r="N13" s="29"/>
      <c r="O13" s="27">
        <f t="shared" si="3"/>
        <v>0</v>
      </c>
      <c r="Q13" s="10"/>
      <c r="R13" s="36"/>
      <c r="S13" s="37"/>
      <c r="T13" s="12"/>
      <c r="V13" s="10"/>
      <c r="W13" s="36"/>
      <c r="X13" s="37"/>
      <c r="Y13" s="12"/>
    </row>
    <row r="14" spans="1:25" x14ac:dyDescent="0.25">
      <c r="A14" s="7" t="s">
        <v>27</v>
      </c>
      <c r="B14" s="463">
        <f>'Cardápio CMEI Berçário I'!B63+'Cardápio CMEI Berçário I'!B91+'Cardápio CMEI Berçário I'!B199</f>
        <v>140</v>
      </c>
      <c r="C14" s="57" t="s">
        <v>88</v>
      </c>
      <c r="D14" s="57">
        <v>1.55</v>
      </c>
      <c r="E14" s="509">
        <f t="shared" si="0"/>
        <v>217</v>
      </c>
      <c r="G14" s="26">
        <f t="shared" si="4"/>
        <v>0</v>
      </c>
      <c r="H14" s="14" t="s">
        <v>25</v>
      </c>
      <c r="I14" s="29"/>
      <c r="J14" s="27">
        <f t="shared" si="1"/>
        <v>0</v>
      </c>
      <c r="L14" s="28">
        <f t="shared" si="2"/>
        <v>0</v>
      </c>
      <c r="M14" s="14" t="s">
        <v>25</v>
      </c>
      <c r="N14" s="29"/>
      <c r="O14" s="27">
        <f t="shared" si="3"/>
        <v>0</v>
      </c>
      <c r="Q14" s="10"/>
      <c r="R14" s="36"/>
      <c r="S14" s="37"/>
      <c r="T14" s="12"/>
      <c r="V14" s="10"/>
      <c r="W14" s="36"/>
      <c r="X14" s="37"/>
      <c r="Y14" s="12"/>
    </row>
    <row r="15" spans="1:25" x14ac:dyDescent="0.25">
      <c r="A15" s="3" t="s">
        <v>65</v>
      </c>
      <c r="B15" s="463">
        <f>'Cardápio CMEI Berçário I'!B179+'Cardápio CMEI Berçário I'!B284</f>
        <v>30</v>
      </c>
      <c r="C15" s="57" t="s">
        <v>88</v>
      </c>
      <c r="D15" s="57">
        <v>1.21</v>
      </c>
      <c r="E15" s="509">
        <f t="shared" si="0"/>
        <v>36.299999999999997</v>
      </c>
      <c r="G15" s="26">
        <f t="shared" si="4"/>
        <v>0</v>
      </c>
      <c r="H15" s="14" t="s">
        <v>25</v>
      </c>
      <c r="I15" s="29"/>
      <c r="J15" s="27">
        <f t="shared" si="1"/>
        <v>0</v>
      </c>
      <c r="L15" s="28">
        <f t="shared" si="2"/>
        <v>0</v>
      </c>
      <c r="M15" s="14" t="s">
        <v>25</v>
      </c>
      <c r="N15" s="29"/>
      <c r="O15" s="27">
        <f t="shared" si="3"/>
        <v>0</v>
      </c>
      <c r="Q15" s="2"/>
      <c r="R15" s="36"/>
      <c r="S15" s="37"/>
      <c r="T15" s="12"/>
      <c r="V15" s="2"/>
      <c r="W15" s="36"/>
      <c r="X15" s="37"/>
      <c r="Y15" s="12"/>
    </row>
    <row r="16" spans="1:25" x14ac:dyDescent="0.25">
      <c r="A16" s="3" t="s">
        <v>52</v>
      </c>
      <c r="B16" s="1">
        <f>'Cardápio CMEI Berçário I'!B54+'Cardápio CMEI Berçário I'!T48+'Cardápio CMEI Berçário I'!B109+'Cardápio CMEI Berçário I'!T100+'Cardápio CMEI Berçário I'!T151+'Cardápio CMEI Berçário I'!B162+'Cardápio CMEI Berçário I'!B218+'Cardápio CMEI Berçário I'!T209+'Cardápio CMEI Berçário I'!B234+'Cardápio CMEI Berçário I'!K262</f>
        <v>120</v>
      </c>
      <c r="C16" s="57" t="s">
        <v>88</v>
      </c>
      <c r="D16" s="57">
        <v>1.1599999999999999</v>
      </c>
      <c r="E16" s="509">
        <f t="shared" si="0"/>
        <v>139.19999999999999</v>
      </c>
      <c r="G16" s="26">
        <f t="shared" si="4"/>
        <v>0</v>
      </c>
      <c r="H16" s="14" t="s">
        <v>25</v>
      </c>
      <c r="I16" s="29"/>
      <c r="J16" s="27">
        <f t="shared" si="1"/>
        <v>0</v>
      </c>
      <c r="L16" s="28">
        <f t="shared" si="2"/>
        <v>0</v>
      </c>
      <c r="M16" s="14" t="s">
        <v>25</v>
      </c>
      <c r="N16" s="29"/>
      <c r="O16" s="27">
        <f t="shared" si="3"/>
        <v>0</v>
      </c>
      <c r="Q16" s="2"/>
      <c r="R16" s="36"/>
      <c r="S16" s="37"/>
      <c r="T16" s="12"/>
      <c r="V16" s="2"/>
      <c r="W16" s="36"/>
      <c r="X16" s="37"/>
      <c r="Y16" s="12"/>
    </row>
    <row r="17" spans="1:25" x14ac:dyDescent="0.25">
      <c r="A17" s="6" t="s">
        <v>48</v>
      </c>
      <c r="B17" s="1">
        <v>0</v>
      </c>
      <c r="C17" s="57" t="s">
        <v>90</v>
      </c>
      <c r="D17" s="57">
        <v>1</v>
      </c>
      <c r="E17" s="509">
        <f t="shared" si="0"/>
        <v>0</v>
      </c>
      <c r="G17" s="26">
        <f t="shared" si="4"/>
        <v>0</v>
      </c>
      <c r="H17" s="14" t="s">
        <v>37</v>
      </c>
      <c r="I17" s="29"/>
      <c r="J17" s="27">
        <f>G17*I17</f>
        <v>0</v>
      </c>
      <c r="L17" s="28">
        <f>G17*4</f>
        <v>0</v>
      </c>
      <c r="M17" s="14" t="s">
        <v>37</v>
      </c>
      <c r="N17" s="29"/>
      <c r="O17" s="27">
        <f>L17*N17</f>
        <v>0</v>
      </c>
      <c r="Q17" s="13"/>
      <c r="R17" s="36"/>
      <c r="S17" s="37"/>
      <c r="T17" s="12"/>
      <c r="V17" s="13"/>
      <c r="W17" s="36"/>
      <c r="X17" s="37"/>
      <c r="Y17" s="12"/>
    </row>
    <row r="18" spans="1:25" ht="15" customHeight="1" x14ac:dyDescent="0.25">
      <c r="A18" s="3" t="s">
        <v>202</v>
      </c>
      <c r="B18" s="1">
        <v>0</v>
      </c>
      <c r="C18" s="57" t="s">
        <v>88</v>
      </c>
      <c r="D18" s="57">
        <v>1</v>
      </c>
      <c r="E18" s="509">
        <f t="shared" si="0"/>
        <v>0</v>
      </c>
      <c r="G18" s="26">
        <f>E18*$F$3/400</f>
        <v>0</v>
      </c>
      <c r="H18" s="14" t="s">
        <v>203</v>
      </c>
      <c r="I18" s="29"/>
      <c r="J18" s="27">
        <f t="shared" ref="J18:J19" si="5">G18*I18</f>
        <v>0</v>
      </c>
      <c r="L18" s="28">
        <f t="shared" ref="L18:L19" si="6">G18*4</f>
        <v>0</v>
      </c>
      <c r="M18" s="14" t="s">
        <v>204</v>
      </c>
      <c r="N18" s="29"/>
      <c r="O18" s="27">
        <f t="shared" ref="O18:O19" si="7">L18*N18</f>
        <v>0</v>
      </c>
    </row>
    <row r="19" spans="1:25" ht="15" customHeight="1" x14ac:dyDescent="0.25">
      <c r="A19" s="3" t="s">
        <v>198</v>
      </c>
      <c r="B19" s="1">
        <v>0</v>
      </c>
      <c r="C19" s="57" t="s">
        <v>88</v>
      </c>
      <c r="D19" s="57">
        <v>1</v>
      </c>
      <c r="E19" s="509">
        <f t="shared" si="0"/>
        <v>0</v>
      </c>
      <c r="G19" s="26">
        <f>E19*$F$3/400</f>
        <v>0</v>
      </c>
      <c r="H19" s="14" t="s">
        <v>203</v>
      </c>
      <c r="I19" s="29"/>
      <c r="J19" s="27">
        <f t="shared" si="5"/>
        <v>0</v>
      </c>
      <c r="L19" s="28">
        <f t="shared" si="6"/>
        <v>0</v>
      </c>
      <c r="M19" s="14" t="s">
        <v>204</v>
      </c>
      <c r="N19" s="29"/>
      <c r="O19" s="27">
        <f t="shared" si="7"/>
        <v>0</v>
      </c>
    </row>
    <row r="20" spans="1:25" x14ac:dyDescent="0.25">
      <c r="A20" s="3" t="s">
        <v>143</v>
      </c>
      <c r="B20" s="1">
        <v>0</v>
      </c>
      <c r="C20" s="57" t="s">
        <v>88</v>
      </c>
      <c r="D20" s="57">
        <v>1.1399999999999999</v>
      </c>
      <c r="E20" s="509">
        <f t="shared" si="0"/>
        <v>0</v>
      </c>
      <c r="G20" s="26">
        <f t="shared" ref="G20:G24" si="8">E20*$F$3/1000</f>
        <v>0</v>
      </c>
      <c r="H20" s="14" t="s">
        <v>25</v>
      </c>
      <c r="I20" s="29"/>
      <c r="J20" s="27">
        <f t="shared" si="1"/>
        <v>0</v>
      </c>
      <c r="L20" s="28">
        <f t="shared" si="2"/>
        <v>0</v>
      </c>
      <c r="M20" s="14" t="s">
        <v>25</v>
      </c>
      <c r="N20" s="29"/>
      <c r="O20" s="27">
        <f t="shared" si="3"/>
        <v>0</v>
      </c>
      <c r="Q20" s="2"/>
      <c r="R20" s="36"/>
      <c r="S20" s="37"/>
      <c r="T20" s="12"/>
      <c r="V20" s="2"/>
      <c r="W20" s="36"/>
      <c r="X20" s="37"/>
      <c r="Y20" s="12"/>
    </row>
    <row r="21" spans="1:25" x14ac:dyDescent="0.25">
      <c r="A21" s="3" t="s">
        <v>106</v>
      </c>
      <c r="B21" s="1">
        <f>'Cardápio CMEI Berçário I'!B125+'Cardápio CMEI Berçário I'!B261</f>
        <v>30</v>
      </c>
      <c r="C21" s="57" t="s">
        <v>88</v>
      </c>
      <c r="D21" s="57">
        <v>1</v>
      </c>
      <c r="E21" s="509">
        <f t="shared" si="0"/>
        <v>30</v>
      </c>
      <c r="G21" s="26">
        <f t="shared" si="8"/>
        <v>0</v>
      </c>
      <c r="H21" s="14" t="s">
        <v>25</v>
      </c>
      <c r="I21" s="29"/>
      <c r="J21" s="27">
        <f t="shared" si="1"/>
        <v>0</v>
      </c>
      <c r="L21" s="28">
        <f t="shared" si="2"/>
        <v>0</v>
      </c>
      <c r="M21" s="14" t="s">
        <v>25</v>
      </c>
      <c r="N21" s="29"/>
      <c r="O21" s="27">
        <f t="shared" si="3"/>
        <v>0</v>
      </c>
      <c r="Q21" s="2"/>
      <c r="R21" s="36"/>
      <c r="S21" s="37"/>
      <c r="T21" s="12"/>
      <c r="V21" s="2"/>
      <c r="W21" s="36"/>
      <c r="X21" s="37"/>
      <c r="Y21" s="12"/>
    </row>
    <row r="22" spans="1:25" x14ac:dyDescent="0.25">
      <c r="A22" s="3" t="s">
        <v>2</v>
      </c>
      <c r="B22" s="463">
        <f>'Cardápio CMEI Berçário I'!B48+'Cardápio CMEI Berçário I'!K50+'Cardápio CMEI Berçário I'!T50+'Cardápio CMEI Berçário I'!B75+'Cardápio CMEI Berçário I'!B100+'Cardápio CMEI Berçário I'!K102+'Cardápio CMEI Berçário I'!T102+'Cardápio CMEI Berçário I'!B126+'Cardápio CMEI Berçário I'!B151+'Cardápio CMEI Berçário I'!K153+'Cardápio CMEI Berçário I'!T153+'Cardápio CMEI Berçário I'!B184+'Cardápio CMEI Berçário I'!B209+'Cardápio CMEI Berçário I'!K211+'Cardápio CMEI Berçário I'!T211+'Cardápio CMEI Berçário I'!B239+'Cardápio CMEI Berçário I'!B262+'Cardápio CMEI Berçário I'!B289</f>
        <v>73</v>
      </c>
      <c r="C22" s="57" t="s">
        <v>88</v>
      </c>
      <c r="D22" s="57">
        <v>1.08</v>
      </c>
      <c r="E22" s="509">
        <f t="shared" si="0"/>
        <v>78.84</v>
      </c>
      <c r="G22" s="26">
        <f t="shared" si="8"/>
        <v>0</v>
      </c>
      <c r="H22" s="14" t="s">
        <v>25</v>
      </c>
      <c r="I22" s="29"/>
      <c r="J22" s="27">
        <f t="shared" si="1"/>
        <v>0</v>
      </c>
      <c r="L22" s="28">
        <f t="shared" si="2"/>
        <v>0</v>
      </c>
      <c r="M22" s="14" t="s">
        <v>25</v>
      </c>
      <c r="N22" s="29"/>
      <c r="O22" s="27">
        <f t="shared" si="3"/>
        <v>0</v>
      </c>
      <c r="Q22" s="2"/>
      <c r="R22" s="36"/>
      <c r="S22" s="37"/>
      <c r="T22" s="12"/>
      <c r="V22" s="2"/>
      <c r="W22" s="36"/>
      <c r="X22" s="37"/>
      <c r="Y22" s="12"/>
    </row>
    <row r="23" spans="1:25" x14ac:dyDescent="0.25">
      <c r="A23" s="3" t="s">
        <v>7</v>
      </c>
      <c r="B23" s="1">
        <f>'Cardápio CMEI Berçário I'!B72+'Cardápio CMEI Berçário I'!K155+'Cardápio CMEI Berçário I'!B180</f>
        <v>30</v>
      </c>
      <c r="C23" s="57" t="s">
        <v>88</v>
      </c>
      <c r="D23" s="57">
        <v>1.18</v>
      </c>
      <c r="E23" s="509">
        <f t="shared" si="0"/>
        <v>35.4</v>
      </c>
      <c r="G23" s="26">
        <f t="shared" si="8"/>
        <v>0</v>
      </c>
      <c r="H23" s="14" t="s">
        <v>25</v>
      </c>
      <c r="I23" s="29"/>
      <c r="J23" s="27">
        <f t="shared" si="1"/>
        <v>0</v>
      </c>
      <c r="L23" s="28">
        <f t="shared" si="2"/>
        <v>0</v>
      </c>
      <c r="M23" s="14" t="s">
        <v>25</v>
      </c>
      <c r="N23" s="29"/>
      <c r="O23" s="27">
        <f t="shared" si="3"/>
        <v>0</v>
      </c>
      <c r="Q23" s="2"/>
      <c r="R23" s="36"/>
      <c r="S23" s="37"/>
      <c r="T23" s="12"/>
      <c r="V23" s="2"/>
      <c r="W23" s="36"/>
      <c r="X23" s="37"/>
      <c r="Y23" s="12"/>
    </row>
    <row r="24" spans="1:25" x14ac:dyDescent="0.25">
      <c r="A24" s="7" t="s">
        <v>8</v>
      </c>
      <c r="B24" s="1">
        <f>'Cardápio CMEI Berçário I'!B73+'Cardápio CMEI Berçário I'!B181+'Cardápio CMEI Berçário I'!B236+'Cardápio CMEI Berçário I'!B286</f>
        <v>40</v>
      </c>
      <c r="C24" s="57" t="s">
        <v>88</v>
      </c>
      <c r="D24" s="57">
        <v>1.61</v>
      </c>
      <c r="E24" s="509">
        <f t="shared" si="0"/>
        <v>64.400000000000006</v>
      </c>
      <c r="G24" s="26">
        <f t="shared" si="8"/>
        <v>0</v>
      </c>
      <c r="H24" s="14" t="s">
        <v>25</v>
      </c>
      <c r="I24" s="29"/>
      <c r="J24" s="27">
        <f t="shared" si="1"/>
        <v>0</v>
      </c>
      <c r="L24" s="28">
        <f t="shared" si="2"/>
        <v>0</v>
      </c>
      <c r="M24" s="14" t="s">
        <v>25</v>
      </c>
      <c r="N24" s="29"/>
      <c r="O24" s="27">
        <f t="shared" si="3"/>
        <v>0</v>
      </c>
      <c r="Q24" s="10"/>
      <c r="R24" s="36"/>
      <c r="S24" s="37"/>
      <c r="T24" s="12"/>
      <c r="V24" s="10"/>
      <c r="W24" s="36"/>
      <c r="X24" s="37"/>
      <c r="Y24" s="12"/>
    </row>
    <row r="25" spans="1:25" x14ac:dyDescent="0.25">
      <c r="A25" s="3" t="s">
        <v>12</v>
      </c>
      <c r="B25" s="1">
        <f>'Cardápio CMEI Berçário I'!T54+'Cardápio CMEI Berçário I'!B76+'Cardápio CMEI Berçário I'!B102+'Cardápio CMEI Berçário I'!T106+'Cardápio CMEI Berçário I'!T157+'Cardápio CMEI Berçário I'!B186+'Cardápio CMEI Berçário I'!B211+'Cardápio CMEI Berçário I'!T215+'Cardápio CMEI Berçário I'!B241+'Cardápio CMEI Berçário I'!B291</f>
        <v>3.9999999999999996</v>
      </c>
      <c r="C25" s="57" t="s">
        <v>88</v>
      </c>
      <c r="D25" s="57">
        <v>1.35</v>
      </c>
      <c r="E25" s="509">
        <f t="shared" si="0"/>
        <v>5.3999999999999995</v>
      </c>
      <c r="G25" s="26">
        <f>E25*$F$3/30</f>
        <v>0</v>
      </c>
      <c r="H25" s="14" t="s">
        <v>39</v>
      </c>
      <c r="I25" s="29"/>
      <c r="J25" s="27">
        <f t="shared" si="1"/>
        <v>0</v>
      </c>
      <c r="L25" s="28">
        <f t="shared" si="2"/>
        <v>0</v>
      </c>
      <c r="M25" s="14" t="s">
        <v>39</v>
      </c>
      <c r="N25" s="29"/>
      <c r="O25" s="27">
        <f t="shared" si="3"/>
        <v>0</v>
      </c>
      <c r="Q25" s="2"/>
      <c r="R25" s="36"/>
      <c r="S25" s="37"/>
      <c r="T25" s="12"/>
      <c r="V25" s="2"/>
      <c r="W25" s="36"/>
      <c r="X25" s="37"/>
      <c r="Y25" s="12"/>
    </row>
    <row r="26" spans="1:25" x14ac:dyDescent="0.25">
      <c r="A26" s="7" t="s">
        <v>6</v>
      </c>
      <c r="B26" s="1">
        <f>'Cardápio CMEI Berçário I'!B50+'Cardápio CMEI Berçário I'!B78+'Cardápio CMEI Berçário I'!B106+'Cardápio CMEI Berçário I'!B128+'Cardápio CMEI Berçário I'!B153+'Cardápio CMEI Berçário I'!B187+'Cardápio CMEI Berçário I'!B215+'Cardápio CMEI Berçário I'!B264+'Cardápio CMEI Berçário I'!B292</f>
        <v>6.3000000000000007</v>
      </c>
      <c r="C26" s="57" t="s">
        <v>88</v>
      </c>
      <c r="D26" s="57">
        <v>1</v>
      </c>
      <c r="E26" s="509">
        <f t="shared" si="0"/>
        <v>6.3000000000000007</v>
      </c>
      <c r="G26" s="26">
        <f>E26*$F$3/100</f>
        <v>0</v>
      </c>
      <c r="H26" s="5" t="s">
        <v>36</v>
      </c>
      <c r="I26" s="29"/>
      <c r="J26" s="27">
        <f t="shared" si="1"/>
        <v>0</v>
      </c>
      <c r="L26" s="28">
        <f t="shared" si="2"/>
        <v>0</v>
      </c>
      <c r="M26" s="5" t="s">
        <v>36</v>
      </c>
      <c r="N26" s="29"/>
      <c r="O26" s="27">
        <f t="shared" si="3"/>
        <v>0</v>
      </c>
      <c r="Q26" s="10"/>
      <c r="R26" s="36"/>
      <c r="S26" s="37"/>
      <c r="T26" s="11"/>
      <c r="V26" s="10"/>
      <c r="W26" s="36"/>
      <c r="X26" s="37"/>
      <c r="Y26" s="11"/>
    </row>
    <row r="27" spans="1:25" x14ac:dyDescent="0.25">
      <c r="A27" s="7" t="s">
        <v>73</v>
      </c>
      <c r="B27" s="1">
        <v>0</v>
      </c>
      <c r="C27" s="57" t="s">
        <v>88</v>
      </c>
      <c r="D27" s="57">
        <v>1.48</v>
      </c>
      <c r="E27" s="509">
        <f t="shared" si="0"/>
        <v>0</v>
      </c>
      <c r="G27" s="26">
        <f>E27*$F$3/1000</f>
        <v>0</v>
      </c>
      <c r="H27" s="14" t="s">
        <v>25</v>
      </c>
      <c r="I27" s="29"/>
      <c r="J27" s="27">
        <f t="shared" si="1"/>
        <v>0</v>
      </c>
      <c r="L27" s="28">
        <f t="shared" si="2"/>
        <v>0</v>
      </c>
      <c r="M27" s="14" t="s">
        <v>25</v>
      </c>
      <c r="N27" s="29"/>
      <c r="O27" s="27">
        <f t="shared" si="3"/>
        <v>0</v>
      </c>
      <c r="Q27" s="10"/>
      <c r="R27" s="36"/>
      <c r="S27" s="37"/>
      <c r="T27" s="12"/>
      <c r="V27" s="10"/>
      <c r="W27" s="36"/>
      <c r="X27" s="37"/>
      <c r="Y27" s="12"/>
    </row>
    <row r="28" spans="1:25" x14ac:dyDescent="0.25">
      <c r="A28" s="6" t="s">
        <v>64</v>
      </c>
      <c r="B28" s="1">
        <v>0</v>
      </c>
      <c r="C28" s="57" t="s">
        <v>88</v>
      </c>
      <c r="D28" s="57">
        <v>1</v>
      </c>
      <c r="E28" s="509">
        <f t="shared" si="0"/>
        <v>0</v>
      </c>
      <c r="G28" s="26">
        <f>E28*$F$3/1000</f>
        <v>0</v>
      </c>
      <c r="H28" s="14" t="s">
        <v>25</v>
      </c>
      <c r="I28" s="29"/>
      <c r="J28" s="27">
        <f t="shared" si="1"/>
        <v>0</v>
      </c>
      <c r="L28" s="28">
        <f t="shared" si="2"/>
        <v>0</v>
      </c>
      <c r="M28" s="14" t="s">
        <v>25</v>
      </c>
      <c r="N28" s="29"/>
      <c r="O28" s="27">
        <f t="shared" si="3"/>
        <v>0</v>
      </c>
      <c r="Q28" s="13"/>
      <c r="R28" s="36"/>
      <c r="S28" s="37"/>
      <c r="T28" s="12"/>
      <c r="V28" s="13"/>
      <c r="W28" s="36"/>
      <c r="X28" s="37"/>
      <c r="Y28" s="12"/>
    </row>
    <row r="29" spans="1:25" x14ac:dyDescent="0.25">
      <c r="A29" s="3" t="s">
        <v>41</v>
      </c>
      <c r="B29" s="1">
        <f>'Cardápio CMEI Berçário I'!T99+'Cardápio CMEI Berçário I'!T208+'Cardápio CMEI Berçário I'!B242</f>
        <v>45</v>
      </c>
      <c r="C29" s="57" t="s">
        <v>88</v>
      </c>
      <c r="D29" s="57">
        <v>1</v>
      </c>
      <c r="E29" s="509">
        <f t="shared" si="0"/>
        <v>45</v>
      </c>
      <c r="G29" s="26">
        <f>E29*$F$3/1000</f>
        <v>0</v>
      </c>
      <c r="H29" s="14" t="s">
        <v>25</v>
      </c>
      <c r="I29" s="29"/>
      <c r="J29" s="27">
        <f t="shared" si="1"/>
        <v>0</v>
      </c>
      <c r="L29" s="28">
        <f t="shared" si="2"/>
        <v>0</v>
      </c>
      <c r="M29" s="14" t="s">
        <v>25</v>
      </c>
      <c r="N29" s="29"/>
      <c r="O29" s="27">
        <f t="shared" si="3"/>
        <v>0</v>
      </c>
      <c r="Q29" s="2"/>
      <c r="R29" s="36"/>
      <c r="S29" s="37"/>
      <c r="T29" s="12"/>
      <c r="V29" s="2"/>
      <c r="W29" s="36"/>
      <c r="X29" s="37"/>
      <c r="Y29" s="12"/>
    </row>
    <row r="30" spans="1:25" x14ac:dyDescent="0.25">
      <c r="A30" s="3" t="s">
        <v>50</v>
      </c>
      <c r="B30" s="1">
        <f>'Cardápio CMEI Berçário I'!T47+'Cardápio CMEI Berçário I'!T150</f>
        <v>30</v>
      </c>
      <c r="C30" s="57" t="s">
        <v>88</v>
      </c>
      <c r="D30" s="57">
        <v>1</v>
      </c>
      <c r="E30" s="509">
        <f t="shared" si="0"/>
        <v>30</v>
      </c>
      <c r="G30" s="26">
        <f>E30*$F$3/1000</f>
        <v>0</v>
      </c>
      <c r="H30" s="14" t="s">
        <v>25</v>
      </c>
      <c r="I30" s="29"/>
      <c r="J30" s="27">
        <f t="shared" si="1"/>
        <v>0</v>
      </c>
      <c r="L30" s="28">
        <f t="shared" si="2"/>
        <v>0</v>
      </c>
      <c r="M30" s="14" t="s">
        <v>25</v>
      </c>
      <c r="N30" s="29"/>
      <c r="O30" s="27">
        <f t="shared" si="3"/>
        <v>0</v>
      </c>
      <c r="Q30" s="2"/>
      <c r="R30" s="36"/>
      <c r="S30" s="37"/>
      <c r="T30" s="12"/>
      <c r="V30" s="2"/>
      <c r="W30" s="36"/>
      <c r="X30" s="37"/>
      <c r="Y30" s="12"/>
    </row>
    <row r="31" spans="1:25" x14ac:dyDescent="0.25">
      <c r="A31" s="6" t="s">
        <v>55</v>
      </c>
      <c r="B31" s="1">
        <v>0</v>
      </c>
      <c r="C31" s="57" t="s">
        <v>88</v>
      </c>
      <c r="D31" s="57">
        <v>1</v>
      </c>
      <c r="E31" s="509">
        <f t="shared" si="0"/>
        <v>0</v>
      </c>
      <c r="G31" s="26">
        <f>E31*$F$3/500</f>
        <v>0</v>
      </c>
      <c r="H31" s="14" t="s">
        <v>56</v>
      </c>
      <c r="I31" s="29"/>
      <c r="J31" s="27">
        <f t="shared" si="1"/>
        <v>0</v>
      </c>
      <c r="L31" s="28">
        <f>G31*4</f>
        <v>0</v>
      </c>
      <c r="M31" s="14" t="s">
        <v>56</v>
      </c>
      <c r="N31" s="29"/>
      <c r="O31" s="27">
        <f t="shared" si="3"/>
        <v>0</v>
      </c>
      <c r="Q31" s="13"/>
      <c r="R31" s="36"/>
      <c r="S31" s="37"/>
      <c r="T31" s="12"/>
      <c r="V31" s="13"/>
      <c r="W31" s="36"/>
      <c r="X31" s="37"/>
      <c r="Y31" s="12"/>
    </row>
    <row r="32" spans="1:25" x14ac:dyDescent="0.25">
      <c r="A32" s="3" t="s">
        <v>11</v>
      </c>
      <c r="B32" s="463">
        <f>'Cardápio CMEI Berçário I'!B55+'Cardápio CMEI Berçário I'!T49+'Cardápio CMEI Berçário I'!B108+'Cardápio CMEI Berçário I'!T101+'Cardápio CMEI Berçário I'!T152+'Cardápio CMEI Berçário I'!B161+'Cardápio CMEI Berçário I'!B217+'Cardápio CMEI Berçário I'!T210+'Cardápio CMEI Berçário I'!B235+'Cardápio CMEI Berçário I'!K261</f>
        <v>165</v>
      </c>
      <c r="C32" s="57" t="s">
        <v>88</v>
      </c>
      <c r="D32" s="57">
        <v>1.35</v>
      </c>
      <c r="E32" s="509">
        <f t="shared" si="0"/>
        <v>222.75000000000003</v>
      </c>
      <c r="G32" s="26">
        <f>E32*$F$3/1000</f>
        <v>0</v>
      </c>
      <c r="H32" s="14" t="s">
        <v>25</v>
      </c>
      <c r="I32" s="29"/>
      <c r="J32" s="27">
        <f t="shared" si="1"/>
        <v>0</v>
      </c>
      <c r="L32" s="28">
        <f t="shared" si="2"/>
        <v>0</v>
      </c>
      <c r="M32" s="14" t="s">
        <v>25</v>
      </c>
      <c r="N32" s="29"/>
      <c r="O32" s="27">
        <f t="shared" si="3"/>
        <v>0</v>
      </c>
      <c r="Q32" s="10"/>
      <c r="R32" s="36"/>
      <c r="S32" s="37"/>
      <c r="T32" s="12"/>
      <c r="V32" s="10"/>
      <c r="W32" s="36"/>
      <c r="X32" s="37"/>
      <c r="Y32" s="12"/>
    </row>
    <row r="33" spans="1:25" x14ac:dyDescent="0.25">
      <c r="A33" s="3" t="s">
        <v>69</v>
      </c>
      <c r="B33" s="463">
        <f>'Cardápio CMEI Berçário I'!B118</f>
        <v>50</v>
      </c>
      <c r="C33" s="57" t="s">
        <v>88</v>
      </c>
      <c r="D33" s="57">
        <v>1.56</v>
      </c>
      <c r="E33" s="509">
        <f t="shared" si="0"/>
        <v>78</v>
      </c>
      <c r="G33" s="26">
        <f>E33*$F$3/1000</f>
        <v>0</v>
      </c>
      <c r="H33" s="14" t="s">
        <v>25</v>
      </c>
      <c r="I33" s="29"/>
      <c r="J33" s="27">
        <f t="shared" si="1"/>
        <v>0</v>
      </c>
      <c r="L33" s="28">
        <f t="shared" si="2"/>
        <v>0</v>
      </c>
      <c r="M33" s="14" t="s">
        <v>25</v>
      </c>
      <c r="N33" s="29"/>
      <c r="O33" s="27">
        <f t="shared" si="3"/>
        <v>0</v>
      </c>
      <c r="Q33" s="2"/>
      <c r="R33" s="36"/>
      <c r="S33" s="37"/>
      <c r="T33" s="12"/>
      <c r="V33" s="2"/>
      <c r="W33" s="36"/>
      <c r="X33" s="37"/>
      <c r="Y33" s="12"/>
    </row>
    <row r="34" spans="1:25" x14ac:dyDescent="0.25">
      <c r="A34" s="6" t="s">
        <v>26</v>
      </c>
      <c r="B34" s="1">
        <v>0</v>
      </c>
      <c r="C34" s="57" t="s">
        <v>88</v>
      </c>
      <c r="D34" s="57">
        <v>1</v>
      </c>
      <c r="E34" s="509">
        <f t="shared" si="0"/>
        <v>0</v>
      </c>
      <c r="G34" s="26">
        <f>E34*$F$3/400</f>
        <v>0</v>
      </c>
      <c r="H34" s="14" t="s">
        <v>161</v>
      </c>
      <c r="I34" s="29"/>
      <c r="J34" s="27">
        <f t="shared" si="1"/>
        <v>0</v>
      </c>
      <c r="L34" s="28">
        <f t="shared" si="2"/>
        <v>0</v>
      </c>
      <c r="M34" s="14" t="s">
        <v>76</v>
      </c>
      <c r="N34" s="29"/>
      <c r="O34" s="27">
        <f t="shared" si="3"/>
        <v>0</v>
      </c>
      <c r="Q34" s="13"/>
      <c r="R34" s="36"/>
      <c r="S34" s="37"/>
      <c r="T34" s="12"/>
      <c r="V34" s="13"/>
      <c r="W34" s="36"/>
      <c r="X34" s="37"/>
      <c r="Y34" s="12"/>
    </row>
    <row r="35" spans="1:25" x14ac:dyDescent="0.25">
      <c r="A35" s="6" t="s">
        <v>30</v>
      </c>
      <c r="B35" s="1">
        <f>'Cardápio CMEI Berçário I'!B178+'Cardápio CMEI Berçário I'!B233+'Cardápio CMEI Berçário I'!B283</f>
        <v>60</v>
      </c>
      <c r="C35" s="57" t="s">
        <v>88</v>
      </c>
      <c r="D35" s="57">
        <v>1</v>
      </c>
      <c r="E35" s="509">
        <f t="shared" si="0"/>
        <v>60</v>
      </c>
      <c r="G35" s="26">
        <f>E35*$F$3/500</f>
        <v>0</v>
      </c>
      <c r="H35" s="14" t="s">
        <v>56</v>
      </c>
      <c r="I35" s="29"/>
      <c r="J35" s="27">
        <f t="shared" si="1"/>
        <v>0</v>
      </c>
      <c r="L35" s="28">
        <f t="shared" si="2"/>
        <v>0</v>
      </c>
      <c r="M35" s="14" t="s">
        <v>56</v>
      </c>
      <c r="N35" s="29"/>
      <c r="O35" s="27">
        <f t="shared" si="3"/>
        <v>0</v>
      </c>
      <c r="Q35" s="13"/>
      <c r="R35" s="36"/>
      <c r="S35" s="37"/>
      <c r="T35" s="12"/>
      <c r="V35" s="13"/>
      <c r="W35" s="36"/>
      <c r="X35" s="37"/>
      <c r="Y35" s="12"/>
    </row>
    <row r="36" spans="1:25" x14ac:dyDescent="0.25">
      <c r="A36" s="6" t="s">
        <v>119</v>
      </c>
      <c r="B36" s="463">
        <v>0</v>
      </c>
      <c r="C36" s="57" t="s">
        <v>88</v>
      </c>
      <c r="D36" s="57">
        <v>1.31</v>
      </c>
      <c r="E36" s="509">
        <f t="shared" si="0"/>
        <v>0</v>
      </c>
      <c r="G36" s="26">
        <f>E36*$F$3/1000</f>
        <v>0</v>
      </c>
      <c r="H36" s="14" t="s">
        <v>25</v>
      </c>
      <c r="I36" s="29"/>
      <c r="J36" s="27">
        <f t="shared" si="1"/>
        <v>0</v>
      </c>
      <c r="L36" s="28">
        <f t="shared" si="2"/>
        <v>0</v>
      </c>
      <c r="M36" s="14" t="s">
        <v>25</v>
      </c>
      <c r="N36" s="29"/>
      <c r="O36" s="27">
        <f t="shared" si="3"/>
        <v>0</v>
      </c>
      <c r="Q36" s="13"/>
      <c r="R36" s="36"/>
      <c r="S36" s="37"/>
      <c r="T36" s="12"/>
      <c r="V36" s="13"/>
      <c r="W36" s="36"/>
      <c r="X36" s="37"/>
      <c r="Y36" s="12"/>
    </row>
    <row r="37" spans="1:25" x14ac:dyDescent="0.25">
      <c r="A37" s="3" t="s">
        <v>31</v>
      </c>
      <c r="B37" s="1">
        <f>'Cardápio CMEI Berçário I'!B117+'Cardápio CMEI Berçário I'!B200</f>
        <v>60</v>
      </c>
      <c r="C37" s="57" t="s">
        <v>88</v>
      </c>
      <c r="D37" s="57">
        <v>1.6</v>
      </c>
      <c r="E37" s="509">
        <f t="shared" si="0"/>
        <v>96</v>
      </c>
      <c r="G37" s="26">
        <f>E37*$F$3/1000</f>
        <v>0</v>
      </c>
      <c r="H37" s="14" t="s">
        <v>25</v>
      </c>
      <c r="I37" s="29"/>
      <c r="J37" s="27">
        <f t="shared" si="1"/>
        <v>0</v>
      </c>
      <c r="L37" s="28">
        <f t="shared" si="2"/>
        <v>0</v>
      </c>
      <c r="M37" s="14" t="s">
        <v>25</v>
      </c>
      <c r="N37" s="29"/>
      <c r="O37" s="27">
        <f t="shared" si="3"/>
        <v>0</v>
      </c>
      <c r="Q37" s="2"/>
      <c r="R37" s="36"/>
      <c r="S37" s="37"/>
      <c r="T37" s="12"/>
      <c r="V37" s="2"/>
      <c r="W37" s="36"/>
      <c r="X37" s="37"/>
      <c r="Y37" s="12"/>
    </row>
    <row r="38" spans="1:25" x14ac:dyDescent="0.25">
      <c r="A38" s="6" t="s">
        <v>54</v>
      </c>
      <c r="B38" s="1">
        <v>0</v>
      </c>
      <c r="C38" s="57" t="s">
        <v>88</v>
      </c>
      <c r="D38" s="57">
        <v>1</v>
      </c>
      <c r="E38" s="509">
        <f t="shared" si="0"/>
        <v>0</v>
      </c>
      <c r="G38" s="26">
        <f>E38*$F$3/500</f>
        <v>0</v>
      </c>
      <c r="H38" s="5" t="s">
        <v>56</v>
      </c>
      <c r="I38" s="29"/>
      <c r="J38" s="27">
        <f t="shared" si="1"/>
        <v>0</v>
      </c>
      <c r="L38" s="28">
        <f t="shared" si="2"/>
        <v>0</v>
      </c>
      <c r="M38" s="5" t="s">
        <v>56</v>
      </c>
      <c r="N38" s="29"/>
      <c r="O38" s="27">
        <f t="shared" si="3"/>
        <v>0</v>
      </c>
      <c r="Q38" s="13"/>
      <c r="R38" s="36"/>
      <c r="S38" s="37"/>
      <c r="T38" s="11"/>
      <c r="V38" s="13"/>
      <c r="W38" s="36"/>
      <c r="X38" s="37"/>
      <c r="Y38" s="11"/>
    </row>
    <row r="39" spans="1:25" x14ac:dyDescent="0.25">
      <c r="A39" s="6" t="s">
        <v>147</v>
      </c>
      <c r="B39" s="1">
        <f>'Cardápio CMEI Berçário I'!B170</f>
        <v>60</v>
      </c>
      <c r="C39" s="57" t="s">
        <v>88</v>
      </c>
      <c r="D39" s="57">
        <v>1.95</v>
      </c>
      <c r="E39" s="509">
        <f t="shared" si="0"/>
        <v>117</v>
      </c>
      <c r="G39" s="26">
        <f>E39*$F$3/1000</f>
        <v>0</v>
      </c>
      <c r="H39" s="5" t="s">
        <v>25</v>
      </c>
      <c r="I39" s="29"/>
      <c r="J39" s="27">
        <f t="shared" si="1"/>
        <v>0</v>
      </c>
      <c r="L39" s="28">
        <f t="shared" si="2"/>
        <v>0</v>
      </c>
      <c r="M39" s="5" t="s">
        <v>25</v>
      </c>
      <c r="N39" s="29"/>
      <c r="O39" s="27">
        <f t="shared" si="3"/>
        <v>0</v>
      </c>
      <c r="Q39" s="13"/>
      <c r="R39" s="36"/>
      <c r="S39" s="37"/>
      <c r="T39" s="11"/>
      <c r="V39" s="13"/>
      <c r="W39" s="36"/>
      <c r="X39" s="37"/>
      <c r="Y39" s="11"/>
    </row>
    <row r="40" spans="1:25" x14ac:dyDescent="0.25">
      <c r="A40" s="6" t="s">
        <v>100</v>
      </c>
      <c r="B40" s="1">
        <f>'Cardápio CMEI Berçário I'!B275</f>
        <v>60</v>
      </c>
      <c r="C40" s="57" t="s">
        <v>88</v>
      </c>
      <c r="D40" s="57">
        <v>1.36</v>
      </c>
      <c r="E40" s="509">
        <f t="shared" si="0"/>
        <v>81.600000000000009</v>
      </c>
      <c r="G40" s="26">
        <f>E40*$F$3/1000</f>
        <v>0</v>
      </c>
      <c r="H40" s="5" t="s">
        <v>25</v>
      </c>
      <c r="I40" s="29"/>
      <c r="J40" s="27">
        <f t="shared" si="1"/>
        <v>0</v>
      </c>
      <c r="L40" s="28">
        <f t="shared" si="2"/>
        <v>0</v>
      </c>
      <c r="M40" s="5" t="s">
        <v>25</v>
      </c>
      <c r="N40" s="29"/>
      <c r="O40" s="27">
        <f t="shared" si="3"/>
        <v>0</v>
      </c>
      <c r="Q40" s="13"/>
      <c r="R40" s="36"/>
      <c r="S40" s="37"/>
      <c r="T40" s="11"/>
      <c r="V40" s="13"/>
      <c r="W40" s="36"/>
      <c r="X40" s="37"/>
      <c r="Y40" s="11"/>
    </row>
    <row r="41" spans="1:25" x14ac:dyDescent="0.25">
      <c r="A41" s="7" t="s">
        <v>66</v>
      </c>
      <c r="B41" s="1">
        <f>'Cardápio CMEI Berçário I'!B99+'Cardápio CMEI Berçário I'!B177+'Cardápio CMEI Berçário I'!B208+'Cardápio CMEI Berçário I'!B282</f>
        <v>50</v>
      </c>
      <c r="C41" s="57" t="s">
        <v>88</v>
      </c>
      <c r="D41" s="57">
        <v>1.21</v>
      </c>
      <c r="E41" s="509">
        <f t="shared" si="0"/>
        <v>60.5</v>
      </c>
      <c r="G41" s="26">
        <f>E41*$F$3/1000</f>
        <v>0</v>
      </c>
      <c r="H41" s="14" t="s">
        <v>25</v>
      </c>
      <c r="I41" s="29"/>
      <c r="J41" s="27">
        <f>G41*I41</f>
        <v>0</v>
      </c>
      <c r="L41" s="28">
        <f>G41*4</f>
        <v>0</v>
      </c>
      <c r="M41" s="14" t="s">
        <v>25</v>
      </c>
      <c r="N41" s="29"/>
      <c r="O41" s="27">
        <f t="shared" si="3"/>
        <v>0</v>
      </c>
      <c r="Q41" s="10"/>
      <c r="R41" s="36"/>
      <c r="S41" s="37"/>
      <c r="T41" s="12"/>
      <c r="V41" s="10"/>
      <c r="W41" s="36"/>
      <c r="X41" s="37"/>
      <c r="Y41" s="12"/>
    </row>
    <row r="42" spans="1:25" x14ac:dyDescent="0.25">
      <c r="A42" s="7" t="s">
        <v>4</v>
      </c>
      <c r="B42" s="1">
        <f>'Cardápio CMEI Berçário I'!B53+'Cardápio CMEI Berçário I'!T52+'Cardápio CMEI Berçário I'!B79+'Cardápio CMEI Berçário I'!B104+'Cardápio CMEI Berçário I'!K103+'Cardápio CMEI Berçário I'!T104+'Cardápio CMEI Berçário I'!B129+'Cardápio CMEI Berçário I'!B156+'Cardápio CMEI Berçário I'!K154+'Cardápio CMEI Berçário I'!T155+'Cardápio CMEI Berçário I'!B188+'Cardápio CMEI Berçário I'!B213+'Cardápio CMEI Berçário I'!K212+'Cardápio CMEI Berçário I'!T213+'Cardápio CMEI Berçário I'!B243+'Cardápio CMEI Berçário I'!B265+'Cardápio CMEI Berçário I'!B293</f>
        <v>21</v>
      </c>
      <c r="C42" s="57" t="s">
        <v>90</v>
      </c>
      <c r="D42" s="57">
        <v>1</v>
      </c>
      <c r="E42" s="509">
        <f t="shared" si="0"/>
        <v>21</v>
      </c>
      <c r="G42" s="26">
        <f>E42*$F$3/900</f>
        <v>0</v>
      </c>
      <c r="H42" s="14" t="s">
        <v>40</v>
      </c>
      <c r="I42" s="29"/>
      <c r="J42" s="27">
        <f t="shared" si="1"/>
        <v>0</v>
      </c>
      <c r="L42" s="28">
        <f>G42*4</f>
        <v>0</v>
      </c>
      <c r="M42" s="14" t="s">
        <v>40</v>
      </c>
      <c r="N42" s="29"/>
      <c r="O42" s="27">
        <f t="shared" si="3"/>
        <v>0</v>
      </c>
      <c r="Q42" s="10"/>
      <c r="R42" s="36"/>
      <c r="S42" s="37"/>
      <c r="T42" s="12"/>
      <c r="V42" s="10"/>
      <c r="W42" s="36"/>
      <c r="X42" s="37"/>
      <c r="Y42" s="12"/>
    </row>
    <row r="43" spans="1:25" x14ac:dyDescent="0.25">
      <c r="A43" s="8" t="s">
        <v>58</v>
      </c>
      <c r="B43" s="1">
        <v>0</v>
      </c>
      <c r="C43" s="57" t="s">
        <v>88</v>
      </c>
      <c r="D43" s="57">
        <v>1.1299999999999999</v>
      </c>
      <c r="E43" s="509">
        <f t="shared" si="0"/>
        <v>0</v>
      </c>
      <c r="G43" s="26">
        <f>E43*$F$3/1500</f>
        <v>0</v>
      </c>
      <c r="H43" s="14" t="s">
        <v>91</v>
      </c>
      <c r="I43" s="29"/>
      <c r="J43" s="27">
        <f t="shared" si="1"/>
        <v>0</v>
      </c>
      <c r="L43" s="28">
        <f t="shared" si="2"/>
        <v>0</v>
      </c>
      <c r="M43" s="14" t="s">
        <v>91</v>
      </c>
      <c r="N43" s="29"/>
      <c r="O43" s="27">
        <f t="shared" si="3"/>
        <v>0</v>
      </c>
      <c r="Q43" s="38"/>
      <c r="R43" s="36"/>
      <c r="S43" s="37"/>
      <c r="T43" s="12"/>
      <c r="V43" s="38"/>
      <c r="W43" s="36"/>
      <c r="X43" s="37"/>
      <c r="Y43" s="12"/>
    </row>
    <row r="44" spans="1:25" s="467" customFormat="1" x14ac:dyDescent="0.25">
      <c r="A44" s="8" t="s">
        <v>111</v>
      </c>
      <c r="B44" s="466">
        <v>0</v>
      </c>
      <c r="C44" s="57" t="s">
        <v>88</v>
      </c>
      <c r="D44" s="57">
        <v>1</v>
      </c>
      <c r="E44" s="509">
        <f t="shared" si="0"/>
        <v>0</v>
      </c>
      <c r="G44" s="468">
        <f>E44*$F$3/400</f>
        <v>0</v>
      </c>
      <c r="H44" s="14" t="s">
        <v>34</v>
      </c>
      <c r="I44" s="394"/>
      <c r="J44" s="469">
        <f t="shared" si="1"/>
        <v>0</v>
      </c>
      <c r="L44" s="470">
        <f t="shared" si="2"/>
        <v>0</v>
      </c>
      <c r="M44" s="14" t="s">
        <v>34</v>
      </c>
      <c r="N44" s="394"/>
      <c r="O44" s="469">
        <f t="shared" si="3"/>
        <v>0</v>
      </c>
      <c r="Q44" s="38"/>
      <c r="R44" s="471"/>
      <c r="S44" s="472"/>
      <c r="T44" s="12"/>
      <c r="U44" s="473"/>
      <c r="V44" s="38"/>
      <c r="W44" s="471"/>
      <c r="X44" s="472"/>
      <c r="Y44" s="12"/>
    </row>
    <row r="45" spans="1:25" x14ac:dyDescent="0.25">
      <c r="A45" s="3" t="s">
        <v>46</v>
      </c>
      <c r="B45" s="1">
        <f>'Cardápio CMEI Berçário I'!B47+'Cardápio CMEI Berçário I'!B70+'Cardápio CMEI Berçário I'!B150</f>
        <v>40</v>
      </c>
      <c r="C45" s="57" t="s">
        <v>88</v>
      </c>
      <c r="D45" s="57">
        <v>1.51</v>
      </c>
      <c r="E45" s="509">
        <f t="shared" si="0"/>
        <v>60.4</v>
      </c>
      <c r="G45" s="26">
        <f>E45*$F$3/1000</f>
        <v>0</v>
      </c>
      <c r="H45" s="14" t="s">
        <v>25</v>
      </c>
      <c r="I45" s="29"/>
      <c r="J45" s="27">
        <f t="shared" si="1"/>
        <v>0</v>
      </c>
      <c r="L45" s="28">
        <f t="shared" si="2"/>
        <v>0</v>
      </c>
      <c r="M45" s="14" t="s">
        <v>76</v>
      </c>
      <c r="N45" s="29"/>
      <c r="O45" s="27">
        <f t="shared" si="3"/>
        <v>0</v>
      </c>
      <c r="Q45" s="2"/>
      <c r="R45" s="36"/>
      <c r="S45" s="37"/>
      <c r="T45" s="12"/>
      <c r="V45" s="2"/>
      <c r="W45" s="36"/>
      <c r="X45" s="37"/>
      <c r="Y45" s="12"/>
    </row>
    <row r="46" spans="1:25" x14ac:dyDescent="0.25">
      <c r="A46" s="6" t="s">
        <v>9</v>
      </c>
      <c r="B46" s="1">
        <f>'Cardápio CMEI Berçário I'!B101+'Cardápio CMEI Berçário I'!B183+'Cardápio CMEI Berçário I'!B210+'Cardápio CMEI Berçário I'!B238+'Cardápio CMEI Berçário I'!B288</f>
        <v>5</v>
      </c>
      <c r="C46" s="57" t="s">
        <v>88</v>
      </c>
      <c r="D46" s="57">
        <v>1.43</v>
      </c>
      <c r="E46" s="509">
        <f t="shared" si="0"/>
        <v>7.1499999999999995</v>
      </c>
      <c r="G46" s="26">
        <f>E46*$F$3/1000</f>
        <v>0</v>
      </c>
      <c r="H46" s="14" t="s">
        <v>25</v>
      </c>
      <c r="I46" s="29"/>
      <c r="J46" s="27">
        <f t="shared" si="1"/>
        <v>0</v>
      </c>
      <c r="L46" s="28">
        <f t="shared" si="2"/>
        <v>0</v>
      </c>
      <c r="M46" s="14" t="s">
        <v>25</v>
      </c>
      <c r="N46" s="29"/>
      <c r="O46" s="27">
        <f t="shared" si="3"/>
        <v>0</v>
      </c>
      <c r="Q46" s="13"/>
      <c r="R46" s="36"/>
      <c r="S46" s="37"/>
      <c r="T46" s="12"/>
      <c r="V46" s="13"/>
      <c r="W46" s="36"/>
      <c r="X46" s="37"/>
      <c r="Y46" s="12"/>
    </row>
    <row r="47" spans="1:25" x14ac:dyDescent="0.25">
      <c r="A47" s="7" t="s">
        <v>29</v>
      </c>
      <c r="B47" s="1">
        <f>'Cardápio CMEI Berçário I'!B225</f>
        <v>40</v>
      </c>
      <c r="C47" s="57" t="s">
        <v>88</v>
      </c>
      <c r="D47" s="57">
        <v>1</v>
      </c>
      <c r="E47" s="509">
        <f t="shared" si="0"/>
        <v>40</v>
      </c>
      <c r="G47" s="26">
        <f>E47*$F$3/1000</f>
        <v>0</v>
      </c>
      <c r="H47" s="14" t="s">
        <v>25</v>
      </c>
      <c r="I47" s="29"/>
      <c r="J47" s="27">
        <f t="shared" si="1"/>
        <v>0</v>
      </c>
      <c r="L47" s="28">
        <f t="shared" si="2"/>
        <v>0</v>
      </c>
      <c r="M47" s="14" t="s">
        <v>25</v>
      </c>
      <c r="N47" s="29"/>
      <c r="O47" s="27">
        <f t="shared" si="3"/>
        <v>0</v>
      </c>
      <c r="Q47" s="10"/>
      <c r="R47" s="36"/>
      <c r="S47" s="37"/>
      <c r="T47" s="12"/>
      <c r="V47" s="10"/>
      <c r="W47" s="36"/>
      <c r="X47" s="37"/>
      <c r="Y47" s="12"/>
    </row>
    <row r="48" spans="1:25" x14ac:dyDescent="0.25">
      <c r="A48" s="7" t="s">
        <v>67</v>
      </c>
      <c r="B48" s="1">
        <v>0</v>
      </c>
      <c r="C48" s="57" t="s">
        <v>88</v>
      </c>
      <c r="D48" s="57">
        <v>1</v>
      </c>
      <c r="E48" s="509">
        <f t="shared" si="0"/>
        <v>0</v>
      </c>
      <c r="G48" s="26">
        <f>E48*$F$3/1000</f>
        <v>0</v>
      </c>
      <c r="H48" s="14" t="s">
        <v>25</v>
      </c>
      <c r="I48" s="29"/>
      <c r="J48" s="27">
        <f t="shared" si="1"/>
        <v>0</v>
      </c>
      <c r="L48" s="28">
        <f t="shared" si="2"/>
        <v>0</v>
      </c>
      <c r="M48" s="14" t="s">
        <v>25</v>
      </c>
      <c r="N48" s="29"/>
      <c r="O48" s="27">
        <f t="shared" si="3"/>
        <v>0</v>
      </c>
      <c r="Q48" s="10"/>
      <c r="R48" s="36"/>
      <c r="S48" s="37"/>
      <c r="T48" s="12"/>
      <c r="V48" s="10"/>
      <c r="W48" s="36"/>
      <c r="X48" s="37"/>
      <c r="Y48" s="12"/>
    </row>
    <row r="49" spans="1:25" x14ac:dyDescent="0.25">
      <c r="A49" s="6" t="s">
        <v>33</v>
      </c>
      <c r="B49" s="1">
        <v>0</v>
      </c>
      <c r="C49" s="57" t="s">
        <v>88</v>
      </c>
      <c r="D49" s="57">
        <v>1</v>
      </c>
      <c r="E49" s="509">
        <f t="shared" si="0"/>
        <v>0</v>
      </c>
      <c r="G49" s="26">
        <f>E49*$F$3/520</f>
        <v>0</v>
      </c>
      <c r="H49" s="14" t="s">
        <v>92</v>
      </c>
      <c r="I49" s="29"/>
      <c r="J49" s="27">
        <f t="shared" si="1"/>
        <v>0</v>
      </c>
      <c r="L49" s="28">
        <f t="shared" si="2"/>
        <v>0</v>
      </c>
      <c r="M49" s="14" t="s">
        <v>92</v>
      </c>
      <c r="N49" s="29"/>
      <c r="O49" s="27">
        <f t="shared" si="3"/>
        <v>0</v>
      </c>
      <c r="Q49" s="13"/>
      <c r="R49" s="36"/>
      <c r="S49" s="37"/>
      <c r="T49" s="12"/>
      <c r="V49" s="13"/>
      <c r="W49" s="36"/>
      <c r="X49" s="37"/>
      <c r="Y49" s="12"/>
    </row>
    <row r="50" spans="1:25" x14ac:dyDescent="0.25">
      <c r="A50" s="3" t="s">
        <v>5</v>
      </c>
      <c r="B50" s="463">
        <f>'Cardápio CMEI Berçário I'!B51+'Cardápio CMEI Berçário I'!K48+'Cardápio CMEI Berçário I'!T55+'Cardápio CMEI Berçário I'!B80+'Cardápio CMEI Berçário I'!B105+'Cardápio CMEI Berçário I'!K100+'Cardápio CMEI Berçário I'!T107+'Cardápio CMEI Berçário I'!B130+'Cardápio CMEI Berçário I'!K127+'Cardápio CMEI Berçário I'!B154+'Cardápio CMEI Berçário I'!K151+'Cardápio CMEI Berçário I'!T158+'Cardápio CMEI Berçário I'!B163+'Cardápio CMEI Berçário I'!B189+'Cardápio CMEI Berçário I'!B214+'Cardápio CMEI Berçário I'!K209+'Cardápio CMEI Berçário I'!T216+'Cardápio CMEI Berçário I'!B244+'Cardápio CMEI Berçário I'!B266+'Cardápio CMEI Berçário I'!K263+'Cardápio CMEI Berçário I'!T262+'Cardápio CMEI Berçário I'!B294</f>
        <v>12</v>
      </c>
      <c r="C50" s="57" t="s">
        <v>88</v>
      </c>
      <c r="D50" s="57">
        <v>1</v>
      </c>
      <c r="E50" s="509">
        <f t="shared" si="0"/>
        <v>12</v>
      </c>
      <c r="G50" s="26">
        <f>E50*$F$3/1000</f>
        <v>0</v>
      </c>
      <c r="H50" s="14" t="s">
        <v>25</v>
      </c>
      <c r="I50" s="29"/>
      <c r="J50" s="27">
        <f t="shared" si="1"/>
        <v>0</v>
      </c>
      <c r="L50" s="28">
        <f t="shared" si="2"/>
        <v>0</v>
      </c>
      <c r="M50" s="14" t="s">
        <v>25</v>
      </c>
      <c r="N50" s="29"/>
      <c r="O50" s="27">
        <f t="shared" si="3"/>
        <v>0</v>
      </c>
      <c r="Q50" s="2"/>
      <c r="R50" s="36"/>
      <c r="S50" s="37"/>
      <c r="T50" s="12"/>
      <c r="V50" s="2"/>
      <c r="W50" s="36"/>
      <c r="X50" s="37"/>
      <c r="Y50" s="12"/>
    </row>
    <row r="51" spans="1:25" ht="13.5" customHeight="1" x14ac:dyDescent="0.25">
      <c r="A51" s="3" t="s">
        <v>10</v>
      </c>
      <c r="B51" s="463">
        <f>'Cardápio CMEI Berçário I'!B52+'Cardápio CMEI Berçário I'!T53+'Cardápio CMEI Berçário I'!B74+'Cardápio CMEI Berçário I'!B107+'Cardápio CMEI Berçário I'!T105+'Cardápio CMEI Berçário I'!B155+'Cardápio CMEI Berçário I'!T156+'Cardápio CMEI Berçário I'!B182+'Cardápio CMEI Berçário I'!B216+'Cardápio CMEI Berçário I'!T214+'Cardápio CMEI Berçário I'!B237+'Cardápio CMEI Berçário I'!B287</f>
        <v>60</v>
      </c>
      <c r="C51" s="57" t="s">
        <v>88</v>
      </c>
      <c r="D51" s="57">
        <v>1.33</v>
      </c>
      <c r="E51" s="509">
        <f t="shared" si="0"/>
        <v>79.800000000000011</v>
      </c>
      <c r="G51" s="26">
        <f>E51*$F$3/1000</f>
        <v>0</v>
      </c>
      <c r="H51" s="14" t="s">
        <v>25</v>
      </c>
      <c r="I51" s="29"/>
      <c r="J51" s="27">
        <f t="shared" si="1"/>
        <v>0</v>
      </c>
      <c r="L51" s="28">
        <f t="shared" si="2"/>
        <v>0</v>
      </c>
      <c r="M51" s="14" t="s">
        <v>25</v>
      </c>
      <c r="N51" s="29"/>
      <c r="O51" s="27">
        <f t="shared" si="3"/>
        <v>0</v>
      </c>
      <c r="Q51" s="2"/>
      <c r="R51" s="36"/>
      <c r="S51" s="37"/>
      <c r="T51" s="12"/>
      <c r="V51" s="2"/>
      <c r="W51" s="36"/>
      <c r="X51" s="37"/>
      <c r="Y51" s="12"/>
    </row>
    <row r="52" spans="1:25" ht="13.5" customHeight="1" x14ac:dyDescent="0.25">
      <c r="A52" s="3" t="s">
        <v>157</v>
      </c>
      <c r="B52" s="1">
        <f>'Cardápio CMEI Berçário I'!B40+'Cardápio CMEI Berçário I'!B92+'Cardápio CMEI Berçário I'!K126+'Cardápio CMEI Berçário I'!B143+'Cardápio CMEI Berçário I'!B201+'Cardápio CMEI Berçário I'!B254</f>
        <v>70</v>
      </c>
      <c r="C52" s="57" t="s">
        <v>88</v>
      </c>
      <c r="D52" s="57">
        <v>1</v>
      </c>
      <c r="E52" s="509">
        <f t="shared" si="0"/>
        <v>70</v>
      </c>
      <c r="G52" s="26">
        <f>E52*$F$3/400</f>
        <v>0</v>
      </c>
      <c r="H52" s="14" t="s">
        <v>223</v>
      </c>
      <c r="I52" s="29"/>
      <c r="J52" s="27">
        <f t="shared" ref="J52" si="9">G52*I52</f>
        <v>0</v>
      </c>
      <c r="L52" s="28">
        <f t="shared" ref="L52" si="10">G52*4</f>
        <v>0</v>
      </c>
      <c r="M52" s="14" t="s">
        <v>223</v>
      </c>
      <c r="N52" s="29"/>
      <c r="O52" s="27">
        <f t="shared" ref="O52" si="11">L52*N52</f>
        <v>0</v>
      </c>
      <c r="Q52" s="2"/>
      <c r="R52" s="36"/>
      <c r="S52" s="37"/>
      <c r="T52" s="12"/>
      <c r="V52" s="2"/>
      <c r="W52" s="36"/>
      <c r="X52" s="37"/>
      <c r="Y52" s="12"/>
    </row>
    <row r="53" spans="1:25" ht="18" x14ac:dyDescent="0.25">
      <c r="J53" s="30">
        <f>SUM(J8:J52)</f>
        <v>0</v>
      </c>
      <c r="O53" s="30">
        <f>SUM(O8:O52)</f>
        <v>0</v>
      </c>
    </row>
  </sheetData>
  <mergeCells count="4">
    <mergeCell ref="B7:C7"/>
    <mergeCell ref="B3:C3"/>
    <mergeCell ref="Q4:T5"/>
    <mergeCell ref="V4:Y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2</vt:i4>
      </vt:variant>
    </vt:vector>
  </HeadingPairs>
  <TitlesOfParts>
    <vt:vector size="11" baseType="lpstr">
      <vt:lpstr>QUANTITATIVO PRA COMPRA</vt:lpstr>
      <vt:lpstr>Cardápio CMEI Integral 2017</vt:lpstr>
      <vt:lpstr>Cardápio CMEI Manhã 2017</vt:lpstr>
      <vt:lpstr>Cardápio CMEI Tarde 2017</vt:lpstr>
      <vt:lpstr>Cardápio CMEI Berçário I</vt:lpstr>
      <vt:lpstr>QDE Integral</vt:lpstr>
      <vt:lpstr>QDE Parcial Manhã</vt:lpstr>
      <vt:lpstr>QDE Parcial Tarde</vt:lpstr>
      <vt:lpstr>QDE Berçário I</vt:lpstr>
      <vt:lpstr>'Cardápio CMEI Integral 2017'!OLE_LINK7</vt:lpstr>
      <vt:lpstr>'Cardápio CMEI Manhã 2017'!OLE_LINK7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</dc:creator>
  <cp:lastModifiedBy>SME</cp:lastModifiedBy>
  <cp:lastPrinted>2015-12-14T18:39:38Z</cp:lastPrinted>
  <dcterms:created xsi:type="dcterms:W3CDTF">2013-11-26T15:43:20Z</dcterms:created>
  <dcterms:modified xsi:type="dcterms:W3CDTF">2017-07-31T16:27:23Z</dcterms:modified>
</cp:coreProperties>
</file>